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Ø. Skibelundvej + Elmevænget/Kundeproces/1 Informationsmøde - RSN/Materiale til informationsmødet/"/>
    </mc:Choice>
  </mc:AlternateContent>
  <xr:revisionPtr revIDLastSave="80" documentId="13_ncr:1_{FE518323-D6C8-4520-A8AB-33218A0F2FA0}" xr6:coauthVersionLast="47" xr6:coauthVersionMax="47" xr10:uidLastSave="{F5C5C634-DAD4-4D40-B60F-759D2ABA6C3B}"/>
  <bookViews>
    <workbookView xWindow="27435" yWindow="2340" windowWidth="32505" windowHeight="15345"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F30" i="14" l="1"/>
  <c r="F42" i="14"/>
  <c r="F54" i="14"/>
  <c r="F31" i="14"/>
  <c r="F43" i="14"/>
  <c r="F55" i="14"/>
  <c r="F32" i="14"/>
  <c r="F44" i="14"/>
  <c r="F56" i="14"/>
  <c r="F33" i="14"/>
  <c r="F45" i="14"/>
  <c r="F53" i="14"/>
  <c r="F22" i="14"/>
  <c r="F34" i="14"/>
  <c r="F46" i="14"/>
  <c r="F52" i="14"/>
  <c r="F23" i="14"/>
  <c r="F35" i="14"/>
  <c r="F47" i="14"/>
  <c r="F40" i="14"/>
  <c r="F24" i="14"/>
  <c r="F36" i="14"/>
  <c r="F48" i="14"/>
  <c r="F25" i="14"/>
  <c r="F37" i="14"/>
  <c r="F49" i="14"/>
  <c r="F26" i="14"/>
  <c r="F38" i="14"/>
  <c r="F50" i="14"/>
  <c r="F28" i="14"/>
  <c r="F27" i="14"/>
  <c r="F39" i="14"/>
  <c r="F51" i="14"/>
  <c r="F29" i="14"/>
  <c r="F41" i="14"/>
  <c r="I18" i="14"/>
  <c r="I17" i="14"/>
  <c r="E119" i="2"/>
  <c r="E120" i="2"/>
  <c r="H57" i="13" s="1"/>
  <c r="E121" i="2"/>
  <c r="E176" i="2"/>
  <c r="C10" i="14"/>
  <c r="C8" i="14"/>
  <c r="C11" i="14"/>
  <c r="E55" i="2"/>
  <c r="C7" i="14"/>
  <c r="C9" i="14"/>
  <c r="E149" i="2"/>
  <c r="E154" i="2"/>
  <c r="F18" i="14" l="1"/>
  <c r="F7" i="14"/>
  <c r="F19" i="14"/>
  <c r="F8" i="14"/>
  <c r="F20" i="14"/>
  <c r="F9" i="14"/>
  <c r="F21" i="14"/>
  <c r="F10" i="14"/>
  <c r="F11" i="14"/>
  <c r="F12" i="14"/>
  <c r="F16" i="14"/>
  <c r="F13" i="14"/>
  <c r="F14" i="14"/>
  <c r="F15"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1" i="14" a="1"/>
  <c r="I32" i="14" a="1"/>
  <c r="F58" i="14" l="1"/>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<sst xmlns="http://schemas.openxmlformats.org/spreadsheetml/2006/main" count="432" uniqueCount="304">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</sst>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22709.361660966591</c:v>
                </c:pt>
                <c:pt idx="1">
                  <c:v>22709.361660966591</c:v>
                </c:pt>
                <c:pt idx="2">
                  <c:v>22709.361660966591</c:v>
                </c:pt>
                <c:pt idx="3">
                  <c:v>22709.361660966591</c:v>
                </c:pt>
                <c:pt idx="4">
                  <c:v>22709.361660966591</c:v>
                </c:pt>
                <c:pt idx="5">
                  <c:v>22709.361660966591</c:v>
                </c:pt>
                <c:pt idx="6">
                  <c:v>22709.361660966591</c:v>
                </c:pt>
                <c:pt idx="7">
                  <c:v>22709.361660966591</c:v>
                </c:pt>
                <c:pt idx="8">
                  <c:v>22709.361660966591</c:v>
                </c:pt>
                <c:pt idx="9">
                  <c:v>22709.361660966591</c:v>
                </c:pt>
                <c:pt idx="10">
                  <c:v>25061.911426856659</c:v>
                </c:pt>
                <c:pt idx="11">
                  <c:v>25061.911426856659</c:v>
                </c:pt>
                <c:pt idx="12">
                  <c:v>25061.911426856659</c:v>
                </c:pt>
                <c:pt idx="13">
                  <c:v>25061.911426856659</c:v>
                </c:pt>
                <c:pt idx="14">
                  <c:v>25061.911426856659</c:v>
                </c:pt>
                <c:pt idx="15">
                  <c:v>25061.911426856659</c:v>
                </c:pt>
                <c:pt idx="16">
                  <c:v>25061.911426856659</c:v>
                </c:pt>
                <c:pt idx="17">
                  <c:v>25061.911426856659</c:v>
                </c:pt>
                <c:pt idx="18">
                  <c:v>25061.911426856659</c:v>
                </c:pt>
                <c:pt idx="19">
                  <c:v>25061.911426856659</c:v>
                </c:pt>
                <c:pt idx="20">
                  <c:v>25061.911426856659</c:v>
                </c:pt>
                <c:pt idx="21">
                  <c:v>25061.911426856659</c:v>
                </c:pt>
                <c:pt idx="22">
                  <c:v>25061.911426856659</c:v>
                </c:pt>
                <c:pt idx="23">
                  <c:v>25061.911426856659</c:v>
                </c:pt>
                <c:pt idx="24">
                  <c:v>25061.911426856659</c:v>
                </c:pt>
                <c:pt idx="25">
                  <c:v>25061.911426856659</c:v>
                </c:pt>
                <c:pt idx="26">
                  <c:v>25061.911426856659</c:v>
                </c:pt>
                <c:pt idx="27">
                  <c:v>25061.911426856659</c:v>
                </c:pt>
                <c:pt idx="28">
                  <c:v>25061.911426856659</c:v>
                </c:pt>
                <c:pt idx="29">
                  <c:v>25061.911426856659</c:v>
                </c:pt>
                <c:pt idx="30">
                  <c:v>25061.911426856659</c:v>
                </c:pt>
                <c:pt idx="31">
                  <c:v>25061.911426856659</c:v>
                </c:pt>
                <c:pt idx="32">
                  <c:v>25061.911426856659</c:v>
                </c:pt>
                <c:pt idx="33">
                  <c:v>25061.911426856659</c:v>
                </c:pt>
                <c:pt idx="34">
                  <c:v>25061.911426856659</c:v>
                </c:pt>
                <c:pt idx="35">
                  <c:v>25061.911426856659</c:v>
                </c:pt>
                <c:pt idx="36">
                  <c:v>25061.911426856659</c:v>
                </c:pt>
                <c:pt idx="37">
                  <c:v>25061.911426856659</c:v>
                </c:pt>
                <c:pt idx="38">
                  <c:v>25061.911426856659</c:v>
                </c:pt>
                <c:pt idx="39">
                  <c:v>25061.911426856659</c:v>
                </c:pt>
                <c:pt idx="40">
                  <c:v>25061.911426856659</c:v>
                </c:pt>
                <c:pt idx="41">
                  <c:v>25061.911426856659</c:v>
                </c:pt>
                <c:pt idx="42">
                  <c:v>25061.911426856659</c:v>
                </c:pt>
                <c:pt idx="43">
                  <c:v>25061.911426856659</c:v>
                </c:pt>
                <c:pt idx="44">
                  <c:v>25061.911426856659</c:v>
                </c:pt>
                <c:pt idx="45">
                  <c:v>25061.911426856659</c:v>
                </c:pt>
                <c:pt idx="46">
                  <c:v>25061.911426856659</c:v>
                </c:pt>
                <c:pt idx="47">
                  <c:v>25061.911426856659</c:v>
                </c:pt>
                <c:pt idx="48">
                  <c:v>25061.911426856659</c:v>
                </c:pt>
                <c:pt idx="49">
                  <c:v>25061.911426856659</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18565.46930684182</c:v>
                </c:pt>
                <c:pt idx="1">
                  <c:v>18565.46930684182</c:v>
                </c:pt>
                <c:pt idx="2">
                  <c:v>18565.46930684182</c:v>
                </c:pt>
                <c:pt idx="3">
                  <c:v>18565.46930684182</c:v>
                </c:pt>
                <c:pt idx="4">
                  <c:v>18565.46930684182</c:v>
                </c:pt>
                <c:pt idx="5">
                  <c:v>18565.46930684182</c:v>
                </c:pt>
                <c:pt idx="6">
                  <c:v>18565.46930684182</c:v>
                </c:pt>
                <c:pt idx="7">
                  <c:v>18565.46930684182</c:v>
                </c:pt>
                <c:pt idx="8">
                  <c:v>18565.46930684182</c:v>
                </c:pt>
                <c:pt idx="9">
                  <c:v>18565.46930684182</c:v>
                </c:pt>
                <c:pt idx="10">
                  <c:v>18565.46930684182</c:v>
                </c:pt>
                <c:pt idx="11">
                  <c:v>18565.46930684182</c:v>
                </c:pt>
                <c:pt idx="12">
                  <c:v>18565.46930684182</c:v>
                </c:pt>
                <c:pt idx="13">
                  <c:v>18565.46930684182</c:v>
                </c:pt>
                <c:pt idx="14">
                  <c:v>18565.46930684182</c:v>
                </c:pt>
                <c:pt idx="15">
                  <c:v>18565.46930684182</c:v>
                </c:pt>
                <c:pt idx="16">
                  <c:v>18565.46930684182</c:v>
                </c:pt>
                <c:pt idx="17">
                  <c:v>18565.46930684182</c:v>
                </c:pt>
                <c:pt idx="18">
                  <c:v>18565.46930684182</c:v>
                </c:pt>
                <c:pt idx="19">
                  <c:v>18565.46930684182</c:v>
                </c:pt>
                <c:pt idx="20">
                  <c:v>18565.46930684182</c:v>
                </c:pt>
                <c:pt idx="21">
                  <c:v>18565.46930684182</c:v>
                </c:pt>
                <c:pt idx="22">
                  <c:v>18565.46930684182</c:v>
                </c:pt>
                <c:pt idx="23">
                  <c:v>18565.46930684182</c:v>
                </c:pt>
                <c:pt idx="24">
                  <c:v>18565.46930684182</c:v>
                </c:pt>
                <c:pt idx="25">
                  <c:v>18565.46930684182</c:v>
                </c:pt>
                <c:pt idx="26">
                  <c:v>18565.46930684182</c:v>
                </c:pt>
                <c:pt idx="27">
                  <c:v>18565.46930684182</c:v>
                </c:pt>
                <c:pt idx="28">
                  <c:v>18565.46930684182</c:v>
                </c:pt>
                <c:pt idx="29">
                  <c:v>18565.46930684182</c:v>
                </c:pt>
                <c:pt idx="30">
                  <c:v>17800.180417038031</c:v>
                </c:pt>
                <c:pt idx="31">
                  <c:v>17800.180417038031</c:v>
                </c:pt>
                <c:pt idx="32">
                  <c:v>17800.180417038031</c:v>
                </c:pt>
                <c:pt idx="33">
                  <c:v>17800.180417038031</c:v>
                </c:pt>
                <c:pt idx="34">
                  <c:v>17800.180417038031</c:v>
                </c:pt>
                <c:pt idx="35">
                  <c:v>17800.180417038031</c:v>
                </c:pt>
                <c:pt idx="36">
                  <c:v>17800.180417038031</c:v>
                </c:pt>
                <c:pt idx="37">
                  <c:v>17800.180417038031</c:v>
                </c:pt>
                <c:pt idx="38">
                  <c:v>17800.180417038031</c:v>
                </c:pt>
                <c:pt idx="39">
                  <c:v>17800.180417038031</c:v>
                </c:pt>
                <c:pt idx="40">
                  <c:v>17800.180417038031</c:v>
                </c:pt>
                <c:pt idx="41">
                  <c:v>17800.180417038031</c:v>
                </c:pt>
                <c:pt idx="42">
                  <c:v>17800.180417038031</c:v>
                </c:pt>
                <c:pt idx="43">
                  <c:v>17800.180417038031</c:v>
                </c:pt>
                <c:pt idx="44">
                  <c:v>17800.180417038031</c:v>
                </c:pt>
                <c:pt idx="45">
                  <c:v>17800.180417038031</c:v>
                </c:pt>
                <c:pt idx="46">
                  <c:v>17800.180417038031</c:v>
                </c:pt>
                <c:pt idx="47">
                  <c:v>17800.180417038031</c:v>
                </c:pt>
                <c:pt idx="48">
                  <c:v>17800.180417038031</c:v>
                </c:pt>
                <c:pt idx="49">
                  <c:v>17800.180417038031</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2049.2834561398868</c:v>
                </c:pt>
                <c:pt idx="1">
                  <c:v>1521.6128125766925</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669874</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598169</xdr:colOff>
      <xdr:row>106</xdr:row>
      <xdr:rowOff>6771</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313012</xdr:colOff>
      <xdr:row>25</xdr:row>
      <xdr:rowOff>55021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552900</xdr:colOff>
      <xdr:row>23</xdr:row>
      <xdr:rowOff>13110</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334274</xdr:colOff>
      <xdr:row>55</xdr:row>
      <xdr:rowOff>125171</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367891</xdr:colOff>
      <xdr:row>47</xdr:row>
      <xdr:rowOff>158787</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324578</xdr:colOff>
      <xdr:row>191</xdr:row>
      <xdr:rowOff>102681</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opLeftCell="A12" zoomScaleNormal="100" zoomScaleSheetLayoutView="55" zoomScalePageLayoutView="70" workbookViewId="0">
      <selection activeCell="C4" sqref="C4:K5"/>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88</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5"/>
      <c r="E46" s="105"/>
      <c r="F46" s="105"/>
      <c r="G46" s="105"/>
      <c r="H46" s="105"/>
      <c r="I46" s="105"/>
      <c r="J46" s="105"/>
      <c r="K46" s="105"/>
      <c r="L46" s="60"/>
      <c r="M46" s="9"/>
      <c r="N46" s="1"/>
      <c r="O46" s="1"/>
      <c r="P46" s="1"/>
    </row>
    <row r="47" spans="1:16" s="5" customFormat="1" ht="15.75" customHeight="1" x14ac:dyDescent="0.25">
      <c r="A47" s="1"/>
      <c r="B47" s="12"/>
      <c r="C47" s="1"/>
      <c r="D47" s="177" t="s">
        <v>201</v>
      </c>
      <c r="E47" s="128"/>
      <c r="F47" s="128"/>
      <c r="G47" s="128"/>
      <c r="H47" s="184" t="s">
        <v>289</v>
      </c>
      <c r="I47" s="184"/>
      <c r="J47" s="128"/>
      <c r="L47" s="145"/>
      <c r="M47" s="9"/>
      <c r="N47" s="1"/>
      <c r="O47" s="1"/>
      <c r="P47" s="1"/>
    </row>
    <row r="48" spans="1:16" s="5" customFormat="1" ht="15.75" customHeight="1" x14ac:dyDescent="0.25">
      <c r="A48" s="1"/>
      <c r="B48" s="12"/>
      <c r="C48" s="1"/>
      <c r="D48" s="158" t="str">
        <f>Prisberegner!C112</f>
        <v>Ved tilslutning (år 1)</v>
      </c>
      <c r="E48" s="125"/>
      <c r="F48" s="125"/>
      <c r="G48" s="125"/>
      <c r="H48" s="159">
        <f>Prisberegner!E112</f>
        <v>4143.8923541247714</v>
      </c>
      <c r="I48" s="125"/>
      <c r="J48" s="125"/>
      <c r="K48" s="183" t="s">
        <v>233</v>
      </c>
      <c r="L48" s="183"/>
      <c r="M48" s="9"/>
      <c r="N48" s="1"/>
      <c r="O48" s="1"/>
      <c r="P48" s="1"/>
    </row>
    <row r="49" spans="1:16" s="5" customFormat="1" ht="15.95" customHeight="1" x14ac:dyDescent="0.25">
      <c r="A49" s="1"/>
      <c r="B49" s="12"/>
      <c r="C49" s="1"/>
      <c r="D49" s="158" t="str">
        <f ca="1">Prisberegner!C113</f>
        <v xml:space="preserve">   Efter investering i ny gaskedel om 10 år</v>
      </c>
      <c r="E49" s="125"/>
      <c r="F49" s="125"/>
      <c r="G49" s="125"/>
      <c r="H49" s="159">
        <f ca="1">Prisberegner!E113</f>
        <v>6496.442120014839</v>
      </c>
      <c r="I49" s="125"/>
      <c r="J49" s="127"/>
      <c r="K49" s="183"/>
      <c r="L49" s="183"/>
      <c r="M49" s="9"/>
      <c r="N49" s="1"/>
      <c r="O49" s="1"/>
      <c r="P49" s="1"/>
    </row>
    <row r="50" spans="1:16" s="5" customFormat="1" ht="15.95" customHeight="1" x14ac:dyDescent="0.25">
      <c r="A50" s="1"/>
      <c r="B50" s="12"/>
      <c r="C50" s="1"/>
      <c r="D50" s="158" t="str">
        <f ca="1">Prisberegner!C114</f>
        <v xml:space="preserve">      Efter levetidsforlængelse eller ny unit om 25 år</v>
      </c>
      <c r="E50" s="125"/>
      <c r="F50" s="125"/>
      <c r="G50" s="125"/>
      <c r="H50" s="159">
        <f ca="1">Prisberegner!E114</f>
        <v>6496.442120014839</v>
      </c>
      <c r="I50" s="125"/>
      <c r="J50" s="127"/>
      <c r="K50" s="183"/>
      <c r="L50" s="183"/>
      <c r="M50" s="9"/>
      <c r="N50" s="1"/>
      <c r="O50" s="1"/>
      <c r="P50" s="1"/>
    </row>
    <row r="51" spans="1:16" s="5" customFormat="1" ht="15.95" customHeight="1" x14ac:dyDescent="0.25">
      <c r="A51" s="1"/>
      <c r="B51" s="12"/>
      <c r="C51" s="1"/>
      <c r="D51" s="158" t="str">
        <f ca="1">Prisberegner!C115</f>
        <v xml:space="preserve">         Efter afskrevne tilslutningsbidrag om 30 år</v>
      </c>
      <c r="E51" s="125"/>
      <c r="F51" s="125"/>
      <c r="G51" s="125"/>
      <c r="H51" s="159">
        <f ca="1">Prisberegner!E115</f>
        <v>7261.7310098186281</v>
      </c>
      <c r="I51" s="125"/>
      <c r="J51" s="127"/>
      <c r="K51" s="183"/>
      <c r="L51" s="183"/>
      <c r="M51" s="9"/>
      <c r="N51" s="1"/>
      <c r="O51" s="1"/>
      <c r="P51" s="1"/>
    </row>
    <row r="52" spans="1:16" s="5" customFormat="1" ht="15.95" customHeight="1" x14ac:dyDescent="0.25">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5" customHeight="1" x14ac:dyDescent="0.25">
      <c r="A53" s="1"/>
      <c r="B53" s="12"/>
      <c r="C53" s="57"/>
      <c r="D53" s="1"/>
      <c r="E53" s="1"/>
      <c r="F53" s="1"/>
      <c r="G53" s="1"/>
      <c r="H53" s="1"/>
      <c r="I53" s="1"/>
      <c r="J53" s="124"/>
      <c r="K53" s="145"/>
      <c r="L53" s="145"/>
      <c r="M53" s="9"/>
      <c r="N53" s="1"/>
      <c r="O53" s="1"/>
      <c r="P53" s="1"/>
    </row>
    <row r="54" spans="1:16" s="5" customFormat="1" ht="15.95" customHeight="1" x14ac:dyDescent="0.25">
      <c r="A54" s="1"/>
      <c r="B54" s="12"/>
      <c r="C54" s="57"/>
      <c r="D54" s="177" t="s">
        <v>202</v>
      </c>
      <c r="E54" s="125"/>
      <c r="F54" s="125"/>
      <c r="G54" s="125"/>
      <c r="H54" s="125"/>
      <c r="I54" s="125"/>
      <c r="J54" s="127"/>
      <c r="K54" s="145"/>
      <c r="L54" s="145"/>
      <c r="M54" s="9"/>
      <c r="N54" s="1"/>
      <c r="O54" s="1"/>
      <c r="P54" s="1"/>
    </row>
    <row r="55" spans="1:16" s="5" customFormat="1" ht="15.95" customHeight="1" x14ac:dyDescent="0.25">
      <c r="A55" s="1"/>
      <c r="B55" s="12"/>
      <c r="C55" s="58"/>
      <c r="D55" s="125" t="s">
        <v>216</v>
      </c>
      <c r="E55" s="125"/>
      <c r="F55" s="128"/>
      <c r="G55" s="128"/>
      <c r="H55" s="160">
        <f>Prisberegner!E118</f>
        <v>4909.1812439285568</v>
      </c>
      <c r="I55" s="125" t="s">
        <v>23</v>
      </c>
      <c r="J55" s="128"/>
      <c r="K55" s="183" t="s">
        <v>288</v>
      </c>
      <c r="L55" s="183"/>
      <c r="M55" s="9"/>
      <c r="N55" s="1"/>
      <c r="O55" s="1"/>
      <c r="P55" s="1"/>
    </row>
    <row r="56" spans="1:16" s="5" customFormat="1" ht="15.95" customHeight="1" x14ac:dyDescent="0.25">
      <c r="A56" s="1"/>
      <c r="B56" s="12"/>
      <c r="C56" s="58"/>
      <c r="D56" s="125" t="s">
        <v>200</v>
      </c>
      <c r="E56" s="125"/>
      <c r="F56" s="128"/>
      <c r="G56" s="128"/>
      <c r="H56" s="160">
        <f>Prisberegner!E97+Prisberegner!E91</f>
        <v>15000</v>
      </c>
      <c r="I56" s="125" t="s">
        <v>2</v>
      </c>
      <c r="J56" s="128"/>
      <c r="K56" s="183"/>
      <c r="L56" s="183"/>
      <c r="M56" s="9"/>
      <c r="N56" s="1"/>
      <c r="O56" s="1"/>
      <c r="P56" s="1"/>
    </row>
    <row r="57" spans="1:16" s="5" customFormat="1" ht="15.95" customHeight="1" x14ac:dyDescent="0.25">
      <c r="A57" s="1"/>
      <c r="B57" s="12"/>
      <c r="C57" s="57"/>
      <c r="D57" s="125" t="s">
        <v>193</v>
      </c>
      <c r="E57" s="125"/>
      <c r="F57" s="128"/>
      <c r="G57" s="128"/>
      <c r="H57" s="161">
        <f>Prisberegner!E120</f>
        <v>3.0554993296593582</v>
      </c>
      <c r="I57" s="129" t="s">
        <v>27</v>
      </c>
      <c r="J57" s="128"/>
      <c r="K57" s="183"/>
      <c r="L57" s="183"/>
      <c r="M57" s="9"/>
      <c r="N57" s="1"/>
      <c r="O57" s="1"/>
      <c r="P57" s="1"/>
    </row>
    <row r="58" spans="1:16" s="5" customFormat="1" ht="15.95" customHeight="1" x14ac:dyDescent="0.25">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abSelected="1" topLeftCell="C51" zoomScale="140" zoomScaleNormal="140" zoomScaleSheetLayoutView="70" zoomScalePageLayoutView="70" workbookViewId="0">
      <selection activeCell="E72" sqref="E72"/>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96" t="s">
        <v>88</v>
      </c>
      <c r="D4" s="196"/>
      <c r="E4" s="196"/>
      <c r="F4" s="196"/>
      <c r="G4" s="196"/>
      <c r="H4" s="196"/>
      <c r="I4" s="196"/>
      <c r="J4" s="45"/>
      <c r="K4" s="1"/>
      <c r="L4" s="45"/>
      <c r="M4" s="1"/>
      <c r="N4" s="1"/>
      <c r="O4" s="1"/>
    </row>
    <row r="5" spans="1:15" s="5" customFormat="1" ht="19.5" customHeight="1" thickBot="1" x14ac:dyDescent="0.3">
      <c r="A5" s="1"/>
      <c r="B5" s="35"/>
      <c r="C5" s="197"/>
      <c r="D5" s="197"/>
      <c r="E5" s="197"/>
      <c r="F5" s="197"/>
      <c r="G5" s="197"/>
      <c r="H5" s="197"/>
      <c r="I5" s="197"/>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5"/>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99</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8"/>
      <c r="E14" s="198"/>
      <c r="F14" s="198"/>
      <c r="G14" s="13"/>
      <c r="H14" s="11"/>
      <c r="I14" s="1"/>
      <c r="J14" s="9"/>
      <c r="K14" s="1"/>
      <c r="L14" s="1"/>
      <c r="M14" s="1"/>
    </row>
    <row r="15" spans="1:15" s="5" customFormat="1" ht="15.95" customHeight="1" x14ac:dyDescent="0.25">
      <c r="A15" s="1"/>
      <c r="B15" s="12"/>
      <c r="C15" s="1" t="s">
        <v>5</v>
      </c>
      <c r="D15" s="198"/>
      <c r="E15" s="198"/>
      <c r="F15" s="198"/>
      <c r="G15" s="13"/>
      <c r="H15" s="11"/>
      <c r="I15" s="1"/>
      <c r="J15" s="9"/>
      <c r="K15" s="1"/>
      <c r="L15" s="1"/>
      <c r="M15" s="1"/>
    </row>
    <row r="16" spans="1:15" s="5" customFormat="1" ht="15.95" customHeight="1" x14ac:dyDescent="0.25">
      <c r="A16" s="1"/>
      <c r="B16" s="12"/>
      <c r="C16" s="1" t="s">
        <v>6</v>
      </c>
      <c r="D16" s="198"/>
      <c r="E16" s="198"/>
      <c r="F16" s="198"/>
      <c r="G16" s="13"/>
      <c r="H16" s="11"/>
      <c r="I16" s="1"/>
      <c r="J16" s="9"/>
      <c r="K16" s="1"/>
      <c r="L16" s="1"/>
      <c r="M16" s="1"/>
    </row>
    <row r="17" spans="1:13" s="5" customFormat="1" ht="15.95" customHeight="1" x14ac:dyDescent="0.25">
      <c r="A17" s="1"/>
      <c r="B17" s="12"/>
      <c r="C17" s="1" t="s">
        <v>11</v>
      </c>
      <c r="D17" s="198"/>
      <c r="E17" s="198"/>
      <c r="F17" s="198"/>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164</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160</v>
      </c>
      <c r="D22" s="1"/>
      <c r="E22" s="17">
        <v>160</v>
      </c>
      <c r="F22" s="1" t="s">
        <v>12</v>
      </c>
      <c r="G22" s="1"/>
      <c r="H22" s="21" t="s">
        <v>141</v>
      </c>
      <c r="I22" s="1"/>
      <c r="J22" s="9"/>
      <c r="K22" s="1"/>
      <c r="L22" s="1"/>
      <c r="M22" s="1"/>
    </row>
    <row r="23" spans="1:13" s="5" customFormat="1" ht="15.95" customHeight="1" x14ac:dyDescent="0.25">
      <c r="A23" s="1"/>
      <c r="B23" s="12"/>
      <c r="C23" s="1" t="s">
        <v>142</v>
      </c>
      <c r="D23" s="1"/>
      <c r="E23" s="17">
        <v>1600</v>
      </c>
      <c r="F23" s="1" t="s">
        <v>148</v>
      </c>
      <c r="G23" s="1"/>
      <c r="H23" s="132" t="s">
        <v>155</v>
      </c>
      <c r="I23" s="1"/>
      <c r="J23" s="9"/>
      <c r="K23" s="1"/>
      <c r="L23" s="1"/>
      <c r="M23" s="1"/>
    </row>
    <row r="24" spans="1:13" s="5" customFormat="1" ht="15.95" customHeight="1" x14ac:dyDescent="0.25">
      <c r="A24" s="1"/>
      <c r="B24" s="12"/>
      <c r="C24" s="1"/>
      <c r="D24" s="1"/>
      <c r="E24" s="101"/>
      <c r="F24" s="1"/>
      <c r="G24" s="1"/>
      <c r="H24" s="21" t="s">
        <v>156</v>
      </c>
      <c r="I24" s="1"/>
      <c r="J24" s="9"/>
      <c r="K24" s="1"/>
      <c r="L24" s="1"/>
      <c r="M24" s="1"/>
    </row>
    <row r="25" spans="1:13" s="5" customFormat="1" ht="15.95" customHeight="1" x14ac:dyDescent="0.25">
      <c r="A25" s="1"/>
      <c r="B25" s="12"/>
      <c r="C25" s="1" t="s">
        <v>151</v>
      </c>
      <c r="D25" s="8"/>
      <c r="E25" s="20"/>
      <c r="F25" s="1"/>
      <c r="G25" s="1"/>
      <c r="H25" s="11"/>
      <c r="I25" s="1"/>
      <c r="J25" s="9"/>
      <c r="K25" s="1"/>
      <c r="L25" s="1"/>
      <c r="M25" s="1"/>
    </row>
    <row r="26" spans="1:13" s="5" customFormat="1" ht="15.95" customHeight="1" x14ac:dyDescent="0.25">
      <c r="A26" s="1"/>
      <c r="B26" s="12"/>
      <c r="C26" s="1" t="s">
        <v>21</v>
      </c>
      <c r="D26" s="1"/>
      <c r="E26" s="26">
        <f>Oplysninger!C253</f>
        <v>2957</v>
      </c>
      <c r="F26" s="1"/>
      <c r="G26" s="1"/>
      <c r="H26" s="25" t="s">
        <v>157</v>
      </c>
      <c r="I26" s="1"/>
      <c r="J26" s="9"/>
      <c r="K26" s="1"/>
      <c r="L26" s="1"/>
      <c r="M26" s="1"/>
    </row>
    <row r="27" spans="1:13" s="5" customFormat="1" ht="15.95" customHeight="1" x14ac:dyDescent="0.25">
      <c r="A27" s="1"/>
      <c r="B27" s="12"/>
      <c r="C27" s="1" t="s">
        <v>150</v>
      </c>
      <c r="D27" s="1"/>
      <c r="E27" s="84">
        <v>2023</v>
      </c>
      <c r="G27" s="124"/>
      <c r="H27" s="22" t="s">
        <v>59</v>
      </c>
      <c r="I27" s="1"/>
      <c r="J27" s="9"/>
      <c r="K27" s="1"/>
      <c r="L27" s="1"/>
      <c r="M27" s="1"/>
    </row>
    <row r="28" spans="1:13" s="5" customFormat="1" ht="15.95" customHeight="1" x14ac:dyDescent="0.25">
      <c r="A28" s="1"/>
      <c r="B28" s="12"/>
      <c r="C28" s="1" t="s">
        <v>20</v>
      </c>
      <c r="D28" s="1"/>
      <c r="E28" s="20">
        <f>VLOOKUP(E27,Oplysninger!B244:C251,2,FALSE)</f>
        <v>2605.23</v>
      </c>
      <c r="F28" s="1"/>
      <c r="G28" s="1"/>
      <c r="H28" s="11"/>
      <c r="I28" s="1"/>
      <c r="J28" s="9"/>
      <c r="K28" s="1"/>
      <c r="L28" s="1"/>
      <c r="M28" s="1"/>
    </row>
    <row r="29" spans="1:13" s="5" customFormat="1" ht="15.95" customHeight="1" x14ac:dyDescent="0.25">
      <c r="A29" s="1"/>
      <c r="B29" s="12"/>
      <c r="C29" s="1" t="s">
        <v>34</v>
      </c>
      <c r="D29" s="1"/>
      <c r="E29" s="39">
        <v>0.7</v>
      </c>
      <c r="F29" s="1"/>
      <c r="G29" s="1"/>
      <c r="H29" s="25" t="s">
        <v>93</v>
      </c>
      <c r="I29" s="1"/>
      <c r="J29" s="9"/>
      <c r="K29" s="1"/>
      <c r="L29" s="1"/>
      <c r="M29" s="1"/>
    </row>
    <row r="30" spans="1:13" s="5" customFormat="1" ht="15.95" customHeight="1" x14ac:dyDescent="0.25">
      <c r="A30" s="1"/>
      <c r="B30" s="12"/>
      <c r="C30" s="1"/>
      <c r="D30" s="1"/>
      <c r="E30" s="102"/>
      <c r="F30" s="1"/>
      <c r="G30" s="1"/>
      <c r="H30" s="25"/>
      <c r="I30" s="1"/>
      <c r="J30" s="9"/>
      <c r="K30" s="1"/>
      <c r="L30" s="1"/>
      <c r="M30" s="1"/>
    </row>
    <row r="31" spans="1:13" s="5" customFormat="1" ht="15.95" customHeight="1" x14ac:dyDescent="0.25">
      <c r="A31" s="1"/>
      <c r="B31" s="12"/>
      <c r="C31" s="1" t="s">
        <v>152</v>
      </c>
      <c r="D31" s="1"/>
      <c r="E31" s="26">
        <f>(E23*E29)*(E26/E28)+(E23*(1-E29))</f>
        <v>1751.2274923903071</v>
      </c>
      <c r="F31" s="1" t="s">
        <v>154</v>
      </c>
      <c r="G31" s="1"/>
      <c r="H31" s="25"/>
      <c r="I31" s="1"/>
      <c r="J31" s="9"/>
      <c r="K31" s="1"/>
      <c r="L31" s="1"/>
      <c r="M31" s="1"/>
    </row>
    <row r="32" spans="1:13" s="5" customFormat="1" ht="15.95" customHeight="1" x14ac:dyDescent="0.25">
      <c r="A32" s="1"/>
      <c r="B32" s="12"/>
      <c r="C32" s="1"/>
      <c r="D32" s="1"/>
      <c r="E32" s="103"/>
      <c r="F32" s="1"/>
      <c r="G32" s="1"/>
      <c r="H32" s="25"/>
      <c r="I32" s="1"/>
      <c r="J32" s="9"/>
      <c r="K32" s="1"/>
      <c r="L32" s="1"/>
      <c r="M32" s="1"/>
    </row>
    <row r="33" spans="1:13" s="5" customFormat="1" ht="15.95" customHeight="1" x14ac:dyDescent="0.25">
      <c r="A33" s="1"/>
      <c r="B33" s="12"/>
      <c r="C33" s="1" t="s">
        <v>143</v>
      </c>
      <c r="D33" s="1"/>
      <c r="E33" s="108">
        <v>11.02</v>
      </c>
      <c r="F33" s="1" t="s">
        <v>146</v>
      </c>
      <c r="G33" s="1"/>
      <c r="H33" s="21" t="s">
        <v>147</v>
      </c>
      <c r="I33" s="1"/>
      <c r="J33" s="9"/>
      <c r="K33" s="1"/>
      <c r="L33" s="1"/>
      <c r="M33" s="1"/>
    </row>
    <row r="34" spans="1:13" s="5" customFormat="1" ht="15.95" customHeight="1" x14ac:dyDescent="0.25">
      <c r="A34" s="1"/>
      <c r="B34" s="12"/>
      <c r="C34" s="1" t="s">
        <v>144</v>
      </c>
      <c r="D34" s="1"/>
      <c r="E34" s="39">
        <v>95</v>
      </c>
      <c r="F34" s="1" t="s">
        <v>75</v>
      </c>
      <c r="G34" s="1"/>
      <c r="H34" s="21" t="s">
        <v>158</v>
      </c>
      <c r="I34" s="1"/>
      <c r="J34" s="9"/>
      <c r="K34" s="1"/>
      <c r="L34" s="1"/>
      <c r="M34" s="1"/>
    </row>
    <row r="35" spans="1:13" s="5" customFormat="1" ht="15.95" customHeight="1" x14ac:dyDescent="0.25">
      <c r="A35" s="1"/>
      <c r="B35" s="12"/>
      <c r="C35" s="1" t="s">
        <v>145</v>
      </c>
      <c r="D35" s="1"/>
      <c r="E35" s="40">
        <v>11.7</v>
      </c>
      <c r="F35" s="1" t="s">
        <v>153</v>
      </c>
      <c r="G35" s="1"/>
      <c r="H35" s="21" t="s">
        <v>159</v>
      </c>
      <c r="I35" s="1"/>
      <c r="J35" s="9"/>
      <c r="K35" s="1"/>
      <c r="L35" s="1"/>
      <c r="M35" s="1"/>
    </row>
    <row r="36" spans="1:13" s="5" customFormat="1" ht="15.95" customHeight="1" x14ac:dyDescent="0.25">
      <c r="A36" s="1"/>
      <c r="B36" s="12"/>
      <c r="C36" s="1" t="s">
        <v>212</v>
      </c>
      <c r="D36" s="1"/>
      <c r="E36" s="24">
        <v>25</v>
      </c>
      <c r="F36" s="1" t="s">
        <v>213</v>
      </c>
      <c r="G36" s="1"/>
      <c r="H36" s="21" t="s">
        <v>215</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86</v>
      </c>
      <c r="D38" s="1"/>
      <c r="E38" s="20">
        <f>(E31*E33)*(E34/100)</f>
        <v>18333.600617834123</v>
      </c>
      <c r="F38" s="1" t="s">
        <v>161</v>
      </c>
      <c r="G38" s="1"/>
      <c r="H38" s="21" t="s">
        <v>87</v>
      </c>
      <c r="I38" s="1"/>
      <c r="J38" s="9"/>
      <c r="K38" s="1"/>
      <c r="L38" s="1"/>
      <c r="M38" s="1"/>
    </row>
    <row r="39" spans="1:13" s="5" customFormat="1" ht="15.95" customHeight="1" x14ac:dyDescent="0.25">
      <c r="A39" s="1"/>
      <c r="B39" s="12"/>
      <c r="C39" s="25"/>
      <c r="D39" s="1"/>
      <c r="E39" s="20"/>
      <c r="F39" s="1"/>
      <c r="G39" s="1"/>
      <c r="H39" s="100"/>
      <c r="I39" s="1"/>
      <c r="J39" s="9"/>
      <c r="K39" s="1"/>
      <c r="L39" s="1"/>
      <c r="M39" s="1"/>
    </row>
    <row r="40" spans="1:13" s="5" customFormat="1" ht="15.95" customHeight="1" x14ac:dyDescent="0.25">
      <c r="A40" s="1"/>
      <c r="B40" s="118"/>
      <c r="C40" s="133"/>
      <c r="D40" s="119"/>
      <c r="E40" s="120"/>
      <c r="F40" s="119"/>
      <c r="G40" s="119"/>
      <c r="H40" s="134"/>
      <c r="I40" s="119"/>
      <c r="J40" s="121"/>
      <c r="K40" s="1"/>
      <c r="L40" s="1"/>
      <c r="M40" s="1"/>
    </row>
    <row r="41" spans="1:13" s="5" customFormat="1" ht="17.25" x14ac:dyDescent="0.25">
      <c r="A41" s="1"/>
      <c r="B41" s="12"/>
      <c r="C41" s="135" t="s">
        <v>217</v>
      </c>
      <c r="D41" s="8"/>
      <c r="E41" s="20"/>
      <c r="F41" s="1"/>
      <c r="G41" s="1"/>
      <c r="H41" s="11"/>
      <c r="I41" s="1"/>
      <c r="J41" s="9"/>
      <c r="K41" s="1"/>
      <c r="L41" s="1"/>
      <c r="M41" s="1"/>
    </row>
    <row r="42" spans="1:13" s="5" customFormat="1" x14ac:dyDescent="0.25">
      <c r="A42" s="1"/>
      <c r="B42" s="12"/>
      <c r="C42" s="1" t="s">
        <v>199</v>
      </c>
      <c r="D42" s="8"/>
      <c r="E42" s="136">
        <f>E31</f>
        <v>1751.2274923903071</v>
      </c>
      <c r="F42" s="1" t="s">
        <v>154</v>
      </c>
      <c r="G42" s="1"/>
      <c r="H42" s="11"/>
      <c r="I42" s="1"/>
      <c r="J42" s="9"/>
      <c r="K42" s="1"/>
      <c r="L42" s="1"/>
      <c r="M42" s="1"/>
    </row>
    <row r="43" spans="1:13" s="5" customFormat="1" ht="15.95" customHeight="1" x14ac:dyDescent="0.25">
      <c r="A43" s="1"/>
      <c r="B43" s="12"/>
      <c r="C43" s="1" t="s">
        <v>214</v>
      </c>
      <c r="D43" s="1"/>
      <c r="E43" s="20">
        <f>E42*E35+E36*12</f>
        <v>20789.361660966591</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149</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81</v>
      </c>
      <c r="E46" s="24">
        <v>400</v>
      </c>
      <c r="F46" s="1" t="s">
        <v>4</v>
      </c>
      <c r="H46" s="21"/>
      <c r="J46" s="9"/>
    </row>
    <row r="47" spans="1:13" ht="15.95" customHeight="1" x14ac:dyDescent="0.25">
      <c r="B47" s="12"/>
      <c r="C47" s="33" t="s">
        <v>29</v>
      </c>
      <c r="D47" s="33"/>
      <c r="E47" s="34">
        <f>SUM(C43:E46)</f>
        <v>22709.361660966591</v>
      </c>
      <c r="F47" s="33" t="s">
        <v>23</v>
      </c>
      <c r="H47" s="11"/>
      <c r="J47" s="9"/>
    </row>
    <row r="48" spans="1:13" ht="15.95" customHeight="1" x14ac:dyDescent="0.25">
      <c r="B48" s="12"/>
      <c r="E48" s="20"/>
      <c r="H48" s="11"/>
      <c r="J48" s="9"/>
    </row>
    <row r="49" spans="1:13" ht="15.95" customHeight="1" x14ac:dyDescent="0.25">
      <c r="B49" s="12"/>
      <c r="C49" s="8" t="s">
        <v>219</v>
      </c>
      <c r="E49" s="20"/>
      <c r="H49" s="11"/>
      <c r="J49" s="9"/>
    </row>
    <row r="50" spans="1:13" ht="15.95" customHeight="1" x14ac:dyDescent="0.25">
      <c r="B50" s="12"/>
      <c r="C50" s="1" t="s">
        <v>32</v>
      </c>
      <c r="E50" s="24">
        <v>10</v>
      </c>
      <c r="F50" s="1" t="s">
        <v>27</v>
      </c>
      <c r="H50" s="11"/>
      <c r="J50" s="9"/>
    </row>
    <row r="51" spans="1:13" ht="15.95" customHeight="1" x14ac:dyDescent="0.25">
      <c r="B51" s="12"/>
      <c r="C51" s="1" t="s">
        <v>89</v>
      </c>
      <c r="E51" s="24">
        <v>35000</v>
      </c>
      <c r="F51" s="1" t="s">
        <v>2</v>
      </c>
      <c r="H51" s="25" t="s">
        <v>195</v>
      </c>
      <c r="J51" s="9"/>
    </row>
    <row r="52" spans="1:13" ht="15.95" customHeight="1" x14ac:dyDescent="0.25">
      <c r="B52" s="12"/>
      <c r="C52" s="1" t="s">
        <v>37</v>
      </c>
      <c r="E52" s="24">
        <v>20</v>
      </c>
      <c r="F52" s="1" t="s">
        <v>27</v>
      </c>
      <c r="H52" s="191" t="s">
        <v>220</v>
      </c>
      <c r="I52" s="191"/>
      <c r="J52" s="192"/>
    </row>
    <row r="53" spans="1:13" ht="15.95" customHeight="1" x14ac:dyDescent="0.25">
      <c r="B53" s="12"/>
      <c r="C53" s="1" t="s">
        <v>44</v>
      </c>
      <c r="D53" s="55">
        <v>0.03</v>
      </c>
      <c r="E53" s="20">
        <f>IFERROR(-PMT(D53,E52,E51),"")</f>
        <v>2352.549765890069</v>
      </c>
      <c r="F53" s="1" t="s">
        <v>4</v>
      </c>
      <c r="H53" s="191"/>
      <c r="I53" s="191"/>
      <c r="J53" s="192"/>
    </row>
    <row r="54" spans="1:13" ht="15.95" customHeight="1" x14ac:dyDescent="0.25">
      <c r="B54" s="12"/>
      <c r="D54" s="53"/>
      <c r="E54" s="20"/>
      <c r="H54" s="11"/>
      <c r="J54" s="9"/>
    </row>
    <row r="55" spans="1:13" ht="15.95" customHeight="1" x14ac:dyDescent="0.25">
      <c r="B55" s="12"/>
      <c r="C55" s="33" t="s">
        <v>46</v>
      </c>
      <c r="D55" s="33"/>
      <c r="E55" s="34">
        <f>IFERROR(E53+E47,"")</f>
        <v>25061.911426856659</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165</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5"/>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99</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37"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675</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5" t="s">
        <v>218</v>
      </c>
      <c r="D74" s="8"/>
      <c r="E74" s="20"/>
      <c r="H74" s="11"/>
      <c r="J74" s="27"/>
      <c r="K74" s="28"/>
    </row>
    <row r="75" spans="1:13" ht="15.95" customHeight="1" x14ac:dyDescent="0.25">
      <c r="B75" s="12"/>
      <c r="C75" s="1" t="s">
        <v>55</v>
      </c>
      <c r="E75" s="20">
        <f>IF(F69="kr./m2",E22*E69,IF(F69="kr./år",E69,""))</f>
        <v>2400</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12375.180417038033</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15400.180417038033</v>
      </c>
      <c r="F79" s="33" t="s">
        <v>23</v>
      </c>
      <c r="H79" s="11"/>
      <c r="J79" s="27"/>
      <c r="K79" s="28"/>
    </row>
    <row r="80" spans="1:13" ht="15.95" customHeight="1" x14ac:dyDescent="0.25">
      <c r="B80" s="12"/>
      <c r="E80" s="20"/>
      <c r="H80" s="11"/>
      <c r="J80" s="27"/>
      <c r="K80" s="28"/>
    </row>
    <row r="81" spans="1:13" ht="15.95" customHeight="1" x14ac:dyDescent="0.25">
      <c r="B81" s="12"/>
      <c r="C81" s="8" t="s">
        <v>276</v>
      </c>
      <c r="D81" s="117"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25">
      <c r="B82" s="12"/>
      <c r="C82" s="8" t="s">
        <v>211</v>
      </c>
      <c r="D82" s="117" t="s">
        <v>19</v>
      </c>
      <c r="E82" s="24">
        <v>150</v>
      </c>
      <c r="F82" s="1" t="str">
        <f>IF(D82="Ja","kr./måned","Anvendes ikke")</f>
        <v>Anvendes ikke</v>
      </c>
      <c r="H82" s="189"/>
      <c r="I82" s="189"/>
      <c r="J82" s="190"/>
      <c r="K82" s="28"/>
    </row>
    <row r="83" spans="1:13" ht="15.95" customHeight="1" x14ac:dyDescent="0.25">
      <c r="B83" s="12"/>
      <c r="C83" s="1" t="s">
        <v>275</v>
      </c>
      <c r="D83" s="153"/>
      <c r="E83" s="24">
        <v>15</v>
      </c>
      <c r="F83" s="1" t="s">
        <v>0</v>
      </c>
      <c r="H83" s="189"/>
      <c r="I83" s="189"/>
      <c r="J83" s="190"/>
      <c r="K83" s="28"/>
    </row>
    <row r="84" spans="1:13" ht="15.95" customHeight="1" x14ac:dyDescent="0.25">
      <c r="B84" s="12"/>
      <c r="D84" s="138"/>
      <c r="E84" s="139"/>
      <c r="F84" s="122"/>
      <c r="H84" s="189"/>
      <c r="I84" s="189"/>
      <c r="J84" s="190"/>
      <c r="K84" s="28"/>
    </row>
    <row r="85" spans="1:13" s="5" customFormat="1" ht="15.95" customHeight="1" x14ac:dyDescent="0.25">
      <c r="A85" s="1"/>
      <c r="B85" s="12"/>
      <c r="C85" s="8" t="s">
        <v>274</v>
      </c>
      <c r="D85" s="1"/>
      <c r="E85" s="1"/>
      <c r="F85" s="1"/>
      <c r="G85" s="1"/>
      <c r="H85" s="25"/>
      <c r="I85" s="1"/>
      <c r="J85" s="9"/>
      <c r="K85" s="1"/>
      <c r="L85" s="1"/>
      <c r="M85" s="1"/>
    </row>
    <row r="86" spans="1:13" s="5" customFormat="1" ht="15.95" customHeight="1" x14ac:dyDescent="0.25">
      <c r="A86" s="1"/>
      <c r="B86" s="12"/>
      <c r="C86" s="1" t="s">
        <v>185</v>
      </c>
      <c r="D86" s="1"/>
      <c r="E86" s="24">
        <v>0</v>
      </c>
      <c r="F86" s="1" t="s">
        <v>2</v>
      </c>
      <c r="G86" s="1"/>
      <c r="H86" s="25"/>
      <c r="I86" s="1"/>
      <c r="J86" s="9"/>
      <c r="K86" s="1"/>
      <c r="L86" s="1"/>
      <c r="M86" s="1"/>
    </row>
    <row r="87" spans="1:13" s="5" customFormat="1" ht="15.95" customHeight="1" x14ac:dyDescent="0.25">
      <c r="A87" s="1"/>
      <c r="B87" s="12"/>
      <c r="C87" s="1" t="s">
        <v>186</v>
      </c>
      <c r="D87" s="1"/>
      <c r="E87" s="24">
        <v>15000</v>
      </c>
      <c r="F87" s="1" t="s">
        <v>2</v>
      </c>
      <c r="G87" s="1"/>
      <c r="H87" s="132" t="s">
        <v>272</v>
      </c>
      <c r="I87" s="1"/>
      <c r="J87" s="9"/>
      <c r="K87" s="1"/>
      <c r="L87" s="1"/>
      <c r="M87" s="1"/>
    </row>
    <row r="88" spans="1:13" s="5" customFormat="1" ht="15.95" customHeight="1" x14ac:dyDescent="0.25">
      <c r="A88" s="1"/>
      <c r="B88" s="12"/>
      <c r="C88" s="115" t="s">
        <v>263</v>
      </c>
      <c r="D88" s="1"/>
      <c r="E88" s="116">
        <v>0</v>
      </c>
      <c r="F88" s="25" t="s">
        <v>2</v>
      </c>
      <c r="G88" s="1"/>
      <c r="H88" s="25" t="s">
        <v>261</v>
      </c>
      <c r="I88" s="1"/>
      <c r="J88" s="9"/>
      <c r="K88" s="1"/>
      <c r="L88" s="1"/>
      <c r="M88" s="1"/>
    </row>
    <row r="89" spans="1:13" s="5" customFormat="1" ht="15.95" customHeight="1" x14ac:dyDescent="0.25">
      <c r="A89" s="1"/>
      <c r="B89" s="12"/>
      <c r="C89" s="1" t="s">
        <v>192</v>
      </c>
      <c r="D89" s="1"/>
      <c r="E89" s="24">
        <v>0</v>
      </c>
      <c r="F89" s="1" t="s">
        <v>2</v>
      </c>
      <c r="G89" s="1"/>
      <c r="H89" s="25" t="s">
        <v>167</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287</v>
      </c>
      <c r="D91" s="1"/>
      <c r="E91" s="20">
        <f>E86+E87-E88*0.26+E89</f>
        <v>15000</v>
      </c>
      <c r="F91" s="1" t="s">
        <v>2</v>
      </c>
      <c r="G91" s="1"/>
      <c r="H91" s="191" t="s">
        <v>273</v>
      </c>
      <c r="I91" s="191"/>
      <c r="J91" s="192"/>
      <c r="K91" s="1"/>
      <c r="L91" s="1"/>
      <c r="M91" s="1"/>
    </row>
    <row r="92" spans="1:13" s="5" customFormat="1" ht="15.95" customHeight="1" x14ac:dyDescent="0.25">
      <c r="A92" s="1"/>
      <c r="B92" s="12"/>
      <c r="C92" s="1" t="s">
        <v>286</v>
      </c>
      <c r="D92" s="1"/>
      <c r="E92" s="24">
        <v>30</v>
      </c>
      <c r="F92" s="1" t="s">
        <v>27</v>
      </c>
      <c r="G92" s="1"/>
      <c r="H92" s="191"/>
      <c r="I92" s="191"/>
      <c r="J92" s="192"/>
      <c r="K92" s="1"/>
      <c r="L92" s="1"/>
      <c r="M92" s="1"/>
    </row>
    <row r="93" spans="1:13" s="5" customFormat="1" ht="15.95" customHeight="1" x14ac:dyDescent="0.25">
      <c r="A93" s="1"/>
      <c r="B93" s="12"/>
      <c r="C93" s="1" t="s">
        <v>226</v>
      </c>
      <c r="D93" s="55">
        <v>0.03</v>
      </c>
      <c r="E93" s="131">
        <f>IF(E92=1,E91,IFERROR(-PMT(D93,E92,E91),"0"))</f>
        <v>765.28888980378849</v>
      </c>
      <c r="F93" s="33" t="str">
        <f>"kr./år i "&amp; E92&amp;" år"</f>
        <v>kr./år i 30 år</v>
      </c>
      <c r="G93" s="1"/>
      <c r="H93" s="191"/>
      <c r="I93" s="191"/>
      <c r="J93" s="192"/>
      <c r="K93" s="1"/>
      <c r="L93" s="1"/>
      <c r="M93" s="1"/>
    </row>
    <row r="94" spans="1:13" s="5" customFormat="1" ht="15.95" customHeight="1" x14ac:dyDescent="0.25">
      <c r="A94" s="1"/>
      <c r="B94" s="12"/>
      <c r="C94" s="1"/>
      <c r="D94" s="1"/>
      <c r="E94" s="20"/>
      <c r="F94" s="1"/>
      <c r="G94" s="1"/>
      <c r="H94" s="105"/>
      <c r="I94" s="105"/>
      <c r="J94" s="106"/>
      <c r="K94" s="1"/>
      <c r="L94" s="1"/>
      <c r="M94" s="1"/>
    </row>
    <row r="95" spans="1:13" s="5" customFormat="1" ht="15.95" customHeight="1" x14ac:dyDescent="0.25">
      <c r="A95" s="1"/>
      <c r="B95" s="12"/>
      <c r="C95" s="8" t="s">
        <v>183</v>
      </c>
      <c r="D95" s="1"/>
      <c r="E95" s="24">
        <v>0</v>
      </c>
      <c r="F95" s="1" t="s">
        <v>2</v>
      </c>
      <c r="G95" s="1"/>
      <c r="H95" s="25"/>
      <c r="I95" s="1"/>
      <c r="J95" s="9"/>
      <c r="K95" s="1"/>
      <c r="L95" s="1"/>
      <c r="M95" s="1"/>
    </row>
    <row r="96" spans="1:13" s="5" customFormat="1" ht="15.95" customHeight="1" x14ac:dyDescent="0.25">
      <c r="A96" s="1"/>
      <c r="B96" s="12"/>
      <c r="C96" s="115" t="s">
        <v>187</v>
      </c>
      <c r="D96" s="1"/>
      <c r="E96" s="116">
        <v>0</v>
      </c>
      <c r="F96" s="25" t="s">
        <v>2</v>
      </c>
      <c r="G96" s="1"/>
      <c r="H96" s="25" t="s">
        <v>210</v>
      </c>
      <c r="I96" s="1"/>
      <c r="J96" s="9"/>
      <c r="K96" s="1"/>
      <c r="L96" s="1"/>
      <c r="M96" s="1"/>
    </row>
    <row r="97" spans="1:13" s="5" customFormat="1" ht="15.95" customHeight="1" x14ac:dyDescent="0.25">
      <c r="A97" s="1"/>
      <c r="B97" s="12"/>
      <c r="C97" s="1" t="s">
        <v>225</v>
      </c>
      <c r="D97" s="1"/>
      <c r="E97" s="20">
        <f>E95-E96*0.26</f>
        <v>0</v>
      </c>
      <c r="F97" s="1" t="s">
        <v>2</v>
      </c>
      <c r="G97" s="1"/>
      <c r="H97" s="25"/>
      <c r="I97" s="1"/>
      <c r="J97" s="9"/>
      <c r="K97" s="1"/>
      <c r="L97" s="1"/>
      <c r="M97" s="1"/>
    </row>
    <row r="98" spans="1:13" s="5" customFormat="1" ht="15.95" customHeight="1" x14ac:dyDescent="0.25">
      <c r="A98" s="1"/>
      <c r="B98" s="12"/>
      <c r="C98" s="1" t="s">
        <v>222</v>
      </c>
      <c r="D98" s="1"/>
      <c r="E98" s="24">
        <v>25</v>
      </c>
      <c r="F98" s="1" t="s">
        <v>27</v>
      </c>
      <c r="G98" s="1"/>
      <c r="H98" s="11"/>
      <c r="I98" s="1"/>
      <c r="J98" s="9"/>
      <c r="K98" s="1"/>
      <c r="L98" s="1"/>
      <c r="M98" s="1"/>
    </row>
    <row r="99" spans="1:13" s="5" customFormat="1" ht="15.95" customHeight="1" x14ac:dyDescent="0.25">
      <c r="A99" s="1"/>
      <c r="B99" s="12"/>
      <c r="C99" s="1" t="s">
        <v>223</v>
      </c>
      <c r="D99" s="55">
        <v>0.03</v>
      </c>
      <c r="E99" s="131">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3" t="s">
        <v>284</v>
      </c>
      <c r="I100" s="193"/>
      <c r="J100" s="194"/>
      <c r="K100" s="1"/>
      <c r="L100" s="1"/>
      <c r="M100" s="1"/>
    </row>
    <row r="101" spans="1:13" s="5" customFormat="1" ht="15.95" customHeight="1" x14ac:dyDescent="0.25">
      <c r="A101" s="1"/>
      <c r="B101" s="12"/>
      <c r="C101" s="1" t="s">
        <v>227</v>
      </c>
      <c r="D101" s="1"/>
      <c r="E101" s="24">
        <v>0</v>
      </c>
      <c r="F101" s="1" t="s">
        <v>2</v>
      </c>
      <c r="G101" s="1"/>
      <c r="H101" s="193"/>
      <c r="I101" s="193"/>
      <c r="J101" s="194"/>
      <c r="K101" s="1"/>
      <c r="L101" s="1"/>
      <c r="M101" s="1"/>
    </row>
    <row r="102" spans="1:13" s="5" customFormat="1" ht="15.95" customHeight="1" x14ac:dyDescent="0.25">
      <c r="A102" s="1"/>
      <c r="B102" s="12"/>
      <c r="C102" s="1" t="s">
        <v>37</v>
      </c>
      <c r="D102" s="1"/>
      <c r="E102" s="24">
        <v>25</v>
      </c>
      <c r="F102" s="1" t="s">
        <v>27</v>
      </c>
      <c r="G102" s="1"/>
      <c r="H102" s="193"/>
      <c r="I102" s="193"/>
      <c r="J102" s="194"/>
      <c r="K102" s="1"/>
      <c r="L102" s="1"/>
      <c r="M102" s="1"/>
    </row>
    <row r="103" spans="1:13" s="5" customFormat="1" ht="15.95" customHeight="1" x14ac:dyDescent="0.25">
      <c r="A103" s="1"/>
      <c r="B103" s="12"/>
      <c r="C103" s="1" t="s">
        <v>44</v>
      </c>
      <c r="D103" s="55">
        <v>0.03</v>
      </c>
      <c r="E103" s="131">
        <f>IF(E102=1,E101,IFERROR(-PMT(D103,E102,E101),"0"))</f>
        <v>0</v>
      </c>
      <c r="F103" s="33" t="str">
        <f>"kr./år i "&amp; E102&amp;" år"</f>
        <v>kr./år i 25 år</v>
      </c>
      <c r="G103" s="1"/>
      <c r="H103" s="193"/>
      <c r="I103" s="193"/>
      <c r="J103" s="194"/>
      <c r="K103" s="1"/>
      <c r="L103" s="1"/>
      <c r="M103" s="1"/>
    </row>
    <row r="104" spans="1:13" s="5" customFormat="1" ht="15.95" customHeight="1" x14ac:dyDescent="0.25">
      <c r="A104" s="1"/>
      <c r="B104" s="12"/>
      <c r="C104" s="1"/>
      <c r="D104" s="53"/>
      <c r="E104" s="20"/>
      <c r="F104" s="1"/>
      <c r="G104" s="1"/>
      <c r="H104" s="193"/>
      <c r="I104" s="193"/>
      <c r="J104" s="194"/>
      <c r="K104" s="1"/>
      <c r="L104" s="1"/>
      <c r="M104" s="1"/>
    </row>
    <row r="105" spans="1:13" s="5" customFormat="1" ht="15.95" customHeight="1" x14ac:dyDescent="0.25">
      <c r="A105" s="1"/>
      <c r="B105" s="12"/>
      <c r="C105" s="8" t="s">
        <v>228</v>
      </c>
      <c r="D105" s="53"/>
      <c r="E105" s="20"/>
      <c r="F105" s="1"/>
      <c r="G105" s="1"/>
      <c r="H105" s="1"/>
      <c r="I105" s="1"/>
      <c r="J105" s="9"/>
      <c r="K105" s="1"/>
      <c r="L105" s="1"/>
      <c r="M105" s="1"/>
    </row>
    <row r="106" spans="1:13" s="5" customFormat="1" ht="15.95" customHeight="1" x14ac:dyDescent="0.25">
      <c r="A106" s="1"/>
      <c r="B106" s="12"/>
      <c r="C106" s="154" t="str">
        <f>'Tabel resultat'!J15</f>
        <v>Ved tilslutning (år 1)</v>
      </c>
      <c r="D106" s="33"/>
      <c r="E106" s="34">
        <f>E79+E93+E99+IF(D81="Ja",E81*12,0)+IF(D82="Ja",E82*12)</f>
        <v>18565.46930684182</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25">
      <c r="A107" s="1"/>
      <c r="B107" s="12"/>
      <c r="C107" s="154" t="str">
        <f ca="1">"   "&amp;'Tabel resultat'!J21</f>
        <v xml:space="preserve">   Efter levetidsforlængelse eller ny unit om 25 år</v>
      </c>
      <c r="D107" s="33"/>
      <c r="E107" s="34">
        <f ca="1">'Tabel resultat'!I21</f>
        <v>18565.46930684182</v>
      </c>
      <c r="F107" s="33" t="s">
        <v>23</v>
      </c>
      <c r="G107" s="1"/>
      <c r="H107" s="193"/>
      <c r="I107" s="193"/>
      <c r="J107" s="194"/>
      <c r="K107" s="1"/>
      <c r="L107" s="1"/>
      <c r="M107" s="1"/>
    </row>
    <row r="108" spans="1:13" s="5" customFormat="1" ht="15.95" customHeight="1" x14ac:dyDescent="0.25">
      <c r="A108" s="1"/>
      <c r="B108" s="12"/>
      <c r="C108" s="154" t="str">
        <f ca="1">"   "&amp;'Tabel resultat'!J22</f>
        <v xml:space="preserve">   Efter afskrevne tilslutningsbidrag om 30 år</v>
      </c>
      <c r="D108" s="33"/>
      <c r="E108" s="34">
        <f ca="1">'Tabel resultat'!I22</f>
        <v>17800.180417038031</v>
      </c>
      <c r="F108" s="33" t="s">
        <v>23</v>
      </c>
      <c r="G108" s="1"/>
      <c r="H108" s="1"/>
      <c r="I108" s="1"/>
      <c r="J108" s="9"/>
      <c r="K108" s="1"/>
      <c r="L108" s="1"/>
      <c r="M108" s="1"/>
    </row>
    <row r="109" spans="1:13" s="5" customFormat="1" ht="15.95" customHeight="1" x14ac:dyDescent="0.25">
      <c r="A109" s="1"/>
      <c r="B109" s="12"/>
      <c r="C109" s="154"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3" t="s">
        <v>194</v>
      </c>
      <c r="D111" s="33"/>
      <c r="E111" s="33"/>
      <c r="F111" s="33"/>
      <c r="I111" s="175"/>
      <c r="J111" s="176"/>
    </row>
    <row r="112" spans="1:13" ht="15.95" customHeight="1" x14ac:dyDescent="0.25">
      <c r="B112" s="12"/>
      <c r="C112" s="154" t="str">
        <f>'Tabel resultat'!J34</f>
        <v>Ved tilslutning (år 1)</v>
      </c>
      <c r="D112" s="33"/>
      <c r="E112" s="34">
        <f>'Tabel resultat'!I34</f>
        <v>4143.8923541247714</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25">
      <c r="B113" s="12"/>
      <c r="C113" s="154" t="str">
        <f ca="1">"   "&amp;'Tabel resultat'!J35</f>
        <v xml:space="preserve">   Efter investering i ny gaskedel om 10 år</v>
      </c>
      <c r="D113" s="33"/>
      <c r="E113" s="34">
        <f ca="1">'Tabel resultat'!I35</f>
        <v>6496.442120014839</v>
      </c>
      <c r="F113" s="33" t="s">
        <v>23</v>
      </c>
      <c r="H113" s="193"/>
      <c r="I113" s="193"/>
      <c r="J113" s="194"/>
    </row>
    <row r="114" spans="1:13" ht="15.95" customHeight="1" x14ac:dyDescent="0.25">
      <c r="B114" s="12"/>
      <c r="C114" s="154" t="str">
        <f ca="1">"      "&amp;'Tabel resultat'!J36</f>
        <v xml:space="preserve">      Efter levetidsforlængelse eller ny unit om 25 år</v>
      </c>
      <c r="D114" s="33"/>
      <c r="E114" s="34">
        <f ca="1">'Tabel resultat'!I36</f>
        <v>6496.442120014839</v>
      </c>
      <c r="F114" s="33" t="s">
        <v>23</v>
      </c>
      <c r="H114" s="175"/>
      <c r="I114" s="175"/>
      <c r="J114" s="176"/>
    </row>
    <row r="115" spans="1:13" ht="15.95" customHeight="1" x14ac:dyDescent="0.25">
      <c r="B115" s="12"/>
      <c r="C115" s="154" t="str">
        <f ca="1">"         "&amp;'Tabel resultat'!J37</f>
        <v xml:space="preserve">         Efter afskrevne tilslutningsbidrag om 30 år</v>
      </c>
      <c r="D115" s="33"/>
      <c r="E115" s="34">
        <f ca="1">'Tabel resultat'!I37</f>
        <v>7261.7310098186281</v>
      </c>
      <c r="F115" s="33" t="s">
        <v>23</v>
      </c>
      <c r="H115" s="175"/>
      <c r="I115" s="175"/>
      <c r="J115" s="176"/>
    </row>
    <row r="116" spans="1:13" ht="15.95" customHeight="1" x14ac:dyDescent="0.25">
      <c r="B116" s="12"/>
      <c r="C116" s="154" t="str">
        <f ca="1">"            "&amp;'Tabel resultat'!J38</f>
        <v xml:space="preserve">            </v>
      </c>
      <c r="D116" s="33"/>
      <c r="E116" s="34" t="str">
        <f ca="1">'Tabel resultat'!I38</f>
        <v/>
      </c>
      <c r="F116" s="33" t="s">
        <v>23</v>
      </c>
      <c r="H116" s="175"/>
      <c r="I116" s="175"/>
      <c r="J116" s="176"/>
    </row>
    <row r="117" spans="1:13" ht="15.95" customHeight="1" x14ac:dyDescent="0.25">
      <c r="B117" s="12"/>
      <c r="J117" s="9"/>
    </row>
    <row r="118" spans="1:13" ht="15.95" customHeight="1" x14ac:dyDescent="0.25">
      <c r="B118" s="12"/>
      <c r="C118" s="123" t="s">
        <v>229</v>
      </c>
      <c r="D118" s="33"/>
      <c r="E118" s="34">
        <f>IF(AND(D81="Ja",D82="Ja"),E47-(E79+E81*12+E82*12),IF(D81="Ja",E47-(E79+E81*12),IF(D82="Ja",E47-(E79+E82*12),E47-E79)))</f>
        <v>4909.1812439285568</v>
      </c>
      <c r="F118" s="33" t="s">
        <v>23</v>
      </c>
      <c r="H118" s="25" t="str">
        <f>IF(OR(D81="Ja",D82="Ja"),"Bemærk: Abonnement og/eller tillæg er indregnet.","")</f>
        <v>Bemærk: Abonnement og/eller tillæg er indregnet.</v>
      </c>
      <c r="J118" s="9"/>
    </row>
    <row r="119" spans="1:13" ht="15.95" customHeight="1" x14ac:dyDescent="0.25">
      <c r="B119" s="12"/>
      <c r="C119" s="33" t="s">
        <v>221</v>
      </c>
      <c r="D119" s="33"/>
      <c r="E119" s="156">
        <f>ROUND(E118/E47*100,1)</f>
        <v>21.6</v>
      </c>
      <c r="F119" s="33" t="s">
        <v>75</v>
      </c>
      <c r="H119" s="25"/>
      <c r="J119" s="9"/>
    </row>
    <row r="120" spans="1:13" ht="15.95" customHeight="1" x14ac:dyDescent="0.25">
      <c r="B120" s="12"/>
      <c r="C120" s="33" t="s">
        <v>193</v>
      </c>
      <c r="D120" s="33"/>
      <c r="E120" s="131">
        <f>IF(((E91+E97)/E118)&lt;=0,"Tjent hjem fra start. 0",(E97+E91)/E118)</f>
        <v>3.0554993296593582</v>
      </c>
      <c r="F120" s="33" t="s">
        <v>27</v>
      </c>
      <c r="H120" s="122" t="str">
        <f>"ift. "&amp;E97+E91&amp;" kr. (felt E91+E97)"</f>
        <v>ift. 15000 kr. (felt E91+E97)</v>
      </c>
      <c r="J120" s="9"/>
    </row>
    <row r="121" spans="1:13" s="5" customFormat="1" ht="15.95" customHeight="1" thickBot="1" x14ac:dyDescent="0.3">
      <c r="A121" s="1"/>
      <c r="B121" s="35"/>
      <c r="C121" s="140" t="s">
        <v>283</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09"/>
      <c r="D124" s="109"/>
      <c r="E124" s="109"/>
      <c r="F124" s="109"/>
      <c r="G124" s="109"/>
      <c r="H124" s="109"/>
      <c r="I124" s="109"/>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73</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5"/>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91</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197</v>
      </c>
      <c r="D133" s="8"/>
      <c r="E133" s="85" t="s">
        <v>19</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v>
      </c>
      <c r="F135" s="1" t="s">
        <v>49</v>
      </c>
      <c r="H135" s="21" t="s">
        <v>100</v>
      </c>
      <c r="J135" s="9"/>
    </row>
    <row r="136" spans="1:13" ht="15.95" customHeight="1" x14ac:dyDescent="0.25">
      <c r="B136" s="12"/>
      <c r="C136" s="1" t="s">
        <v>54</v>
      </c>
      <c r="E136" s="20">
        <f>IFERROR(E38/E135,"")</f>
        <v>6111.2002059447077</v>
      </c>
      <c r="F136" s="1" t="s">
        <v>22</v>
      </c>
      <c r="J136" s="9"/>
    </row>
    <row r="137" spans="1:13" ht="15.95" customHeight="1" x14ac:dyDescent="0.25">
      <c r="B137" s="12"/>
      <c r="C137" s="1" t="s">
        <v>52</v>
      </c>
      <c r="E137" s="41">
        <v>1.2</v>
      </c>
      <c r="F137" s="1" t="s">
        <v>51</v>
      </c>
      <c r="H137" s="21" t="s">
        <v>53</v>
      </c>
      <c r="J137" s="9"/>
    </row>
    <row r="138" spans="1:13" ht="15.95" customHeight="1" x14ac:dyDescent="0.25">
      <c r="B138" s="12"/>
      <c r="E138" s="79"/>
      <c r="H138" s="21" t="s">
        <v>90</v>
      </c>
      <c r="J138" s="9"/>
    </row>
    <row r="139" spans="1:13" ht="15.95" customHeight="1" x14ac:dyDescent="0.25">
      <c r="B139" s="12"/>
      <c r="C139" s="8" t="s">
        <v>84</v>
      </c>
      <c r="E139" s="79"/>
      <c r="H139" s="21"/>
      <c r="J139" s="9"/>
    </row>
    <row r="140" spans="1:13" ht="15.95" customHeight="1" x14ac:dyDescent="0.25">
      <c r="B140" s="12"/>
      <c r="C140" s="1" t="s">
        <v>83</v>
      </c>
      <c r="E140" s="20">
        <f>IFERROR(E137*E136,"")</f>
        <v>7333.4402471336489</v>
      </c>
      <c r="F140" s="1" t="s">
        <v>23</v>
      </c>
      <c r="J140" s="9"/>
    </row>
    <row r="141" spans="1:13" ht="15.95" customHeight="1" x14ac:dyDescent="0.25">
      <c r="B141" s="12"/>
      <c r="C141" s="1" t="s">
        <v>25</v>
      </c>
      <c r="E141" s="24">
        <v>700</v>
      </c>
      <c r="F141" s="1" t="s">
        <v>4</v>
      </c>
      <c r="J141" s="9"/>
    </row>
    <row r="142" spans="1:13" ht="15.95" customHeight="1" x14ac:dyDescent="0.25">
      <c r="B142" s="12"/>
      <c r="C142" s="1" t="s">
        <v>26</v>
      </c>
      <c r="E142" s="24">
        <v>2250</v>
      </c>
      <c r="F142" s="1" t="s">
        <v>4</v>
      </c>
      <c r="H142" s="21" t="s">
        <v>63</v>
      </c>
      <c r="J142" s="9"/>
    </row>
    <row r="143" spans="1:13" ht="15.95" customHeight="1" x14ac:dyDescent="0.25">
      <c r="B143" s="12"/>
      <c r="C143" s="33" t="s">
        <v>29</v>
      </c>
      <c r="D143" s="33"/>
      <c r="E143" s="34">
        <f>SUM(E140:E142)</f>
        <v>10283.440247133649</v>
      </c>
      <c r="F143" s="33" t="s">
        <v>23</v>
      </c>
      <c r="J143" s="9"/>
    </row>
    <row r="144" spans="1:13" ht="15.95" customHeight="1" x14ac:dyDescent="0.25">
      <c r="B144" s="12"/>
      <c r="E144" s="20"/>
      <c r="J144" s="9"/>
    </row>
    <row r="145" spans="2:10" ht="15.95" customHeight="1" x14ac:dyDescent="0.25">
      <c r="B145" s="12"/>
      <c r="C145" s="8" t="s">
        <v>30</v>
      </c>
      <c r="E145" s="24">
        <v>102000</v>
      </c>
      <c r="F145" s="1" t="s">
        <v>2</v>
      </c>
      <c r="H145" s="25" t="s">
        <v>196</v>
      </c>
      <c r="J145" s="9"/>
    </row>
    <row r="146" spans="2:10" ht="15.95" customHeight="1" x14ac:dyDescent="0.25">
      <c r="B146" s="12"/>
      <c r="C146" s="1" t="s">
        <v>162</v>
      </c>
      <c r="E146" s="24">
        <v>0</v>
      </c>
      <c r="F146" s="1" t="s">
        <v>2</v>
      </c>
      <c r="H146" s="25" t="s">
        <v>100</v>
      </c>
      <c r="J146" s="9"/>
    </row>
    <row r="147" spans="2:10" ht="15.95" customHeight="1" x14ac:dyDescent="0.25">
      <c r="B147" s="12"/>
      <c r="C147" s="1" t="s">
        <v>37</v>
      </c>
      <c r="E147" s="24">
        <v>16</v>
      </c>
      <c r="F147" s="1" t="s">
        <v>27</v>
      </c>
      <c r="H147" s="75"/>
      <c r="J147" s="9"/>
    </row>
    <row r="148" spans="2:10" ht="15.95" customHeight="1" x14ac:dyDescent="0.25">
      <c r="B148" s="12"/>
      <c r="C148" s="1" t="s">
        <v>44</v>
      </c>
      <c r="D148" s="55">
        <v>0.03</v>
      </c>
      <c r="E148" s="20">
        <f>IFERROR(-PMT(D148,E147,(E145+E146)),"")</f>
        <v>8120.3066250797838</v>
      </c>
      <c r="F148" s="1" t="s">
        <v>4</v>
      </c>
      <c r="H148" s="54"/>
      <c r="J148" s="9"/>
    </row>
    <row r="149" spans="2:10" ht="15.95" customHeight="1" x14ac:dyDescent="0.25">
      <c r="B149" s="12"/>
      <c r="C149" s="33" t="s">
        <v>45</v>
      </c>
      <c r="D149" s="33"/>
      <c r="E149" s="34">
        <f>IFERROR(E143+E148,"")</f>
        <v>18403.746872213433</v>
      </c>
      <c r="F149" s="33" t="s">
        <v>23</v>
      </c>
      <c r="J149" s="9"/>
    </row>
    <row r="150" spans="2:10" ht="15.95" customHeight="1" x14ac:dyDescent="0.25">
      <c r="B150" s="12"/>
      <c r="E150" s="20"/>
      <c r="J150" s="9"/>
    </row>
    <row r="151" spans="2:10" ht="15.95" customHeight="1" x14ac:dyDescent="0.25">
      <c r="B151" s="12"/>
      <c r="C151" s="8" t="s">
        <v>62</v>
      </c>
      <c r="E151" s="24">
        <v>102000</v>
      </c>
      <c r="F151" s="1" t="s">
        <v>2</v>
      </c>
      <c r="H151" s="105"/>
      <c r="I151" s="105"/>
      <c r="J151" s="106"/>
    </row>
    <row r="152" spans="2:10" ht="15.95" customHeight="1" x14ac:dyDescent="0.25">
      <c r="B152" s="12"/>
      <c r="C152" s="1" t="s">
        <v>37</v>
      </c>
      <c r="E152" s="24">
        <v>16</v>
      </c>
      <c r="F152" s="1" t="s">
        <v>27</v>
      </c>
      <c r="H152" s="191" t="s">
        <v>231</v>
      </c>
      <c r="I152" s="191"/>
      <c r="J152" s="192"/>
    </row>
    <row r="153" spans="2:10" ht="15.95" customHeight="1" x14ac:dyDescent="0.25">
      <c r="B153" s="12"/>
      <c r="C153" s="1" t="s">
        <v>44</v>
      </c>
      <c r="D153" s="55">
        <v>0.03</v>
      </c>
      <c r="E153" s="20">
        <f>IFERROR(-PMT(D153,E152,E151),"")</f>
        <v>8120.3066250797838</v>
      </c>
      <c r="F153" s="1" t="s">
        <v>4</v>
      </c>
      <c r="H153" s="191"/>
      <c r="I153" s="191"/>
      <c r="J153" s="192"/>
    </row>
    <row r="154" spans="2:10" ht="15.95" customHeight="1" x14ac:dyDescent="0.25">
      <c r="B154" s="12"/>
      <c r="C154" s="33" t="s">
        <v>163</v>
      </c>
      <c r="D154" s="33"/>
      <c r="E154" s="34">
        <f>IFERROR(E143+E153,"")</f>
        <v>18403.746872213433</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76</v>
      </c>
      <c r="D157" s="8"/>
      <c r="E157" s="20"/>
      <c r="H157" s="11"/>
      <c r="J157" s="9"/>
    </row>
    <row r="158" spans="2:10" ht="15.95" customHeight="1" x14ac:dyDescent="0.25">
      <c r="B158" s="12"/>
      <c r="C158" s="1" t="s">
        <v>197</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74</v>
      </c>
      <c r="E160" s="39">
        <v>85</v>
      </c>
      <c r="F160" s="1" t="s">
        <v>75</v>
      </c>
      <c r="H160" s="21"/>
      <c r="J160" s="9"/>
    </row>
    <row r="161" spans="2:10" ht="15.95" customHeight="1" x14ac:dyDescent="0.25">
      <c r="B161" s="12"/>
      <c r="C161" s="1" t="s">
        <v>77</v>
      </c>
      <c r="E161" s="20">
        <f>IFERROR(E38/(E160/100),"")</f>
        <v>21568.941903334264</v>
      </c>
      <c r="F161" s="1" t="s">
        <v>22</v>
      </c>
      <c r="J161" s="9"/>
    </row>
    <row r="162" spans="2:10" ht="15.95" customHeight="1" x14ac:dyDescent="0.25">
      <c r="B162" s="12"/>
      <c r="E162" s="20">
        <f>E161/4.86</f>
        <v>4438.0538895749514</v>
      </c>
      <c r="F162" s="1" t="s">
        <v>80</v>
      </c>
      <c r="J162" s="9"/>
    </row>
    <row r="163" spans="2:10" ht="15.95" customHeight="1" x14ac:dyDescent="0.25">
      <c r="B163" s="12"/>
      <c r="C163" s="1" t="s">
        <v>78</v>
      </c>
      <c r="E163" s="41">
        <v>3.25</v>
      </c>
      <c r="F163" s="1" t="s">
        <v>79</v>
      </c>
      <c r="H163" s="21"/>
      <c r="J163" s="9"/>
    </row>
    <row r="164" spans="2:10" ht="15.95" customHeight="1" x14ac:dyDescent="0.25">
      <c r="B164" s="12"/>
      <c r="E164" s="79"/>
      <c r="H164" s="21"/>
      <c r="J164" s="9"/>
    </row>
    <row r="165" spans="2:10" ht="15.95" customHeight="1" x14ac:dyDescent="0.25">
      <c r="B165" s="12"/>
      <c r="C165" s="8" t="s">
        <v>85</v>
      </c>
      <c r="E165" s="79"/>
      <c r="H165" s="21"/>
      <c r="J165" s="9"/>
    </row>
    <row r="166" spans="2:10" ht="15.95" customHeight="1" x14ac:dyDescent="0.25">
      <c r="B166" s="12"/>
      <c r="C166" s="1" t="s">
        <v>70</v>
      </c>
      <c r="E166" s="20">
        <f>IFERROR(E163*E162,"")</f>
        <v>14423.675141118592</v>
      </c>
      <c r="F166" s="1" t="s">
        <v>23</v>
      </c>
      <c r="J166" s="9"/>
    </row>
    <row r="167" spans="2:10" ht="15.95" customHeight="1" x14ac:dyDescent="0.25">
      <c r="B167" s="12"/>
      <c r="C167" s="1" t="s">
        <v>25</v>
      </c>
      <c r="E167" s="24">
        <v>500</v>
      </c>
      <c r="F167" s="1" t="s">
        <v>4</v>
      </c>
      <c r="J167" s="9"/>
    </row>
    <row r="168" spans="2:10" ht="15.95" customHeight="1" x14ac:dyDescent="0.25">
      <c r="B168" s="12"/>
      <c r="C168" s="1" t="s">
        <v>82</v>
      </c>
      <c r="E168" s="24">
        <v>1500</v>
      </c>
      <c r="F168" s="1" t="s">
        <v>4</v>
      </c>
      <c r="H168" s="21"/>
      <c r="J168" s="9"/>
    </row>
    <row r="169" spans="2:10" ht="15.95" customHeight="1" x14ac:dyDescent="0.25">
      <c r="B169" s="12"/>
      <c r="C169" s="1" t="s">
        <v>81</v>
      </c>
      <c r="E169" s="24"/>
      <c r="F169" s="1" t="s">
        <v>4</v>
      </c>
      <c r="H169" s="21"/>
      <c r="J169" s="9"/>
    </row>
    <row r="170" spans="2:10" ht="15.95" customHeight="1" x14ac:dyDescent="0.25">
      <c r="B170" s="12"/>
      <c r="C170" s="33" t="s">
        <v>29</v>
      </c>
      <c r="D170" s="33"/>
      <c r="E170" s="34">
        <f>SUM(E166:E169)</f>
        <v>16423.675141118591</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196</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22287.335773478753</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5"/>
      <c r="I178" s="105"/>
      <c r="J178" s="106"/>
    </row>
    <row r="179" spans="2:10" ht="15.95" customHeight="1" x14ac:dyDescent="0.25">
      <c r="B179" s="12"/>
      <c r="C179" s="1" t="s">
        <v>37</v>
      </c>
      <c r="E179" s="24">
        <v>7</v>
      </c>
      <c r="F179" s="1" t="s">
        <v>27</v>
      </c>
      <c r="H179" s="191" t="s">
        <v>232</v>
      </c>
      <c r="I179" s="191"/>
      <c r="J179" s="192"/>
    </row>
    <row r="180" spans="2:10" ht="15.95" customHeight="1" x14ac:dyDescent="0.25">
      <c r="B180" s="12"/>
      <c r="C180" s="1" t="s">
        <v>44</v>
      </c>
      <c r="D180" s="55">
        <v>0.03</v>
      </c>
      <c r="E180" s="20">
        <f>IFERROR(-PMT(D180,E179,E178),"")</f>
        <v>5617.7223813995188</v>
      </c>
      <c r="F180" s="1" t="s">
        <v>4</v>
      </c>
      <c r="H180" s="191"/>
      <c r="I180" s="191"/>
      <c r="J180" s="192"/>
    </row>
    <row r="181" spans="2:10" ht="15.95" customHeight="1" x14ac:dyDescent="0.25">
      <c r="B181" s="12"/>
      <c r="C181" s="33" t="s">
        <v>163</v>
      </c>
      <c r="D181" s="33"/>
      <c r="E181" s="34">
        <f>IFERROR(E170+E180,"")</f>
        <v>22041.397522518109</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198" zoomScale="70" zoomScaleNormal="70" workbookViewId="0">
      <selection activeCell="H245" sqref="H245"/>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179" t="s">
        <v>296</v>
      </c>
      <c r="C3" s="180"/>
      <c r="D3" s="180"/>
      <c r="E3" s="180"/>
      <c r="F3" s="180"/>
      <c r="G3" s="180"/>
      <c r="H3" s="180"/>
      <c r="I3" s="180"/>
      <c r="J3" s="180"/>
      <c r="K3" s="180"/>
      <c r="L3" s="180"/>
    </row>
    <row r="4" spans="1:61" x14ac:dyDescent="0.25">
      <c r="B4" s="32" t="s">
        <v>297</v>
      </c>
    </row>
    <row r="5" spans="1:61" s="99"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25">
      <c r="B6" s="111" t="s">
        <v>130</v>
      </c>
    </row>
    <row r="7" spans="1:61" x14ac:dyDescent="0.25">
      <c r="B7" s="51"/>
    </row>
    <row r="8" spans="1:61" x14ac:dyDescent="0.25">
      <c r="B8" s="76" t="s">
        <v>134</v>
      </c>
      <c r="N8" s="76" t="s">
        <v>133</v>
      </c>
    </row>
    <row r="9" spans="1:61" x14ac:dyDescent="0.25">
      <c r="B9" s="76" t="s">
        <v>129</v>
      </c>
      <c r="N9" s="104" t="s">
        <v>131</v>
      </c>
    </row>
    <row r="10" spans="1:61" x14ac:dyDescent="0.25">
      <c r="B10" s="51"/>
      <c r="N10" s="32" t="s">
        <v>132</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0" customFormat="1" x14ac:dyDescent="0.25">
      <c r="B28" s="111" t="s">
        <v>135</v>
      </c>
    </row>
    <row r="29" spans="1:61" x14ac:dyDescent="0.25">
      <c r="B29" s="51"/>
    </row>
    <row r="30" spans="1:61" x14ac:dyDescent="0.25">
      <c r="B30" s="32" t="s">
        <v>139</v>
      </c>
    </row>
    <row r="31" spans="1:61" x14ac:dyDescent="0.25">
      <c r="B31" s="32" t="s">
        <v>136</v>
      </c>
    </row>
    <row r="32" spans="1:61" x14ac:dyDescent="0.25">
      <c r="B32" s="32" t="s">
        <v>137</v>
      </c>
    </row>
    <row r="33" spans="2:16" x14ac:dyDescent="0.25">
      <c r="B33" s="96" t="s">
        <v>138</v>
      </c>
    </row>
    <row r="34" spans="2:16" x14ac:dyDescent="0.25">
      <c r="B34" s="76" t="s">
        <v>140</v>
      </c>
    </row>
    <row r="35" spans="2:16" x14ac:dyDescent="0.25">
      <c r="B35" s="76"/>
    </row>
    <row r="36" spans="2:16" s="110" customFormat="1" x14ac:dyDescent="0.25">
      <c r="B36" s="111" t="s">
        <v>120</v>
      </c>
    </row>
    <row r="37" spans="2:16" x14ac:dyDescent="0.25">
      <c r="B37" s="51"/>
    </row>
    <row r="38" spans="2:16" x14ac:dyDescent="0.25">
      <c r="B38" s="32" t="s">
        <v>110</v>
      </c>
    </row>
    <row r="40" spans="2:16" x14ac:dyDescent="0.25">
      <c r="B40" s="32" t="s">
        <v>115</v>
      </c>
      <c r="I40" s="76" t="s">
        <v>172</v>
      </c>
    </row>
    <row r="41" spans="2:16" x14ac:dyDescent="0.25">
      <c r="B41" s="32" t="s">
        <v>116</v>
      </c>
      <c r="I41" s="76" t="s">
        <v>173</v>
      </c>
    </row>
    <row r="45" spans="2:16" x14ac:dyDescent="0.25">
      <c r="P45" s="76" t="s">
        <v>133</v>
      </c>
    </row>
    <row r="46" spans="2:16" x14ac:dyDescent="0.25">
      <c r="P46" s="104" t="s">
        <v>131</v>
      </c>
    </row>
    <row r="47" spans="2:16" x14ac:dyDescent="0.25">
      <c r="B47" s="76"/>
    </row>
    <row r="48" spans="2:16" x14ac:dyDescent="0.25">
      <c r="B48" s="76"/>
    </row>
    <row r="49" spans="2:16" x14ac:dyDescent="0.25">
      <c r="B49" s="76"/>
    </row>
    <row r="50" spans="2:16" s="110" customFormat="1" x14ac:dyDescent="0.25">
      <c r="B50" s="111" t="s">
        <v>174</v>
      </c>
    </row>
    <row r="51" spans="2:16" x14ac:dyDescent="0.25">
      <c r="B51" s="76"/>
    </row>
    <row r="52" spans="2:16" x14ac:dyDescent="0.25">
      <c r="B52" s="76"/>
    </row>
    <row r="53" spans="2:16" x14ac:dyDescent="0.25">
      <c r="B53" s="76"/>
      <c r="P53" s="76" t="s">
        <v>133</v>
      </c>
    </row>
    <row r="54" spans="2:16" x14ac:dyDescent="0.25">
      <c r="B54" s="76"/>
      <c r="P54" s="104" t="s">
        <v>131</v>
      </c>
    </row>
    <row r="55" spans="2:16" x14ac:dyDescent="0.25">
      <c r="B55" s="76"/>
    </row>
    <row r="56" spans="2:16" x14ac:dyDescent="0.25">
      <c r="B56" s="76"/>
    </row>
    <row r="57" spans="2:16" s="110" customFormat="1" x14ac:dyDescent="0.25">
      <c r="B57" s="111" t="s">
        <v>175</v>
      </c>
    </row>
    <row r="58" spans="2:16" x14ac:dyDescent="0.25">
      <c r="B58" s="51"/>
    </row>
    <row r="59" spans="2:16" x14ac:dyDescent="0.25">
      <c r="B59" s="32" t="s">
        <v>177</v>
      </c>
      <c r="O59" s="76" t="s">
        <v>176</v>
      </c>
      <c r="P59" s="76" t="s">
        <v>180</v>
      </c>
    </row>
    <row r="60" spans="2:16" x14ac:dyDescent="0.25">
      <c r="B60" s="113" t="s">
        <v>178</v>
      </c>
      <c r="E60" s="114">
        <v>19000</v>
      </c>
      <c r="F60" s="32" t="s">
        <v>181</v>
      </c>
      <c r="P60" s="76" t="s">
        <v>166</v>
      </c>
    </row>
    <row r="61" spans="2:16" x14ac:dyDescent="0.25">
      <c r="B61" s="113" t="s">
        <v>179</v>
      </c>
      <c r="E61" s="114">
        <v>24000</v>
      </c>
      <c r="F61" s="32" t="s">
        <v>182</v>
      </c>
    </row>
    <row r="62" spans="2:16" x14ac:dyDescent="0.25">
      <c r="B62" s="76"/>
    </row>
    <row r="63" spans="2:16" s="110" customFormat="1" x14ac:dyDescent="0.25">
      <c r="B63" s="111" t="s">
        <v>239</v>
      </c>
    </row>
    <row r="64" spans="2:16" x14ac:dyDescent="0.25">
      <c r="G64" s="76"/>
    </row>
    <row r="65" spans="2:12" x14ac:dyDescent="0.25">
      <c r="B65" t="s">
        <v>243</v>
      </c>
      <c r="G65" s="104"/>
      <c r="K65" s="76" t="s">
        <v>241</v>
      </c>
    </row>
    <row r="66" spans="2:12" x14ac:dyDescent="0.25">
      <c r="B66" s="32" t="s">
        <v>244</v>
      </c>
      <c r="G66" s="104"/>
      <c r="K66" s="104" t="s">
        <v>242</v>
      </c>
    </row>
    <row r="67" spans="2:12" x14ac:dyDescent="0.25">
      <c r="G67" s="104"/>
    </row>
    <row r="68" spans="2:12" x14ac:dyDescent="0.25">
      <c r="B68" s="32" t="s">
        <v>240</v>
      </c>
      <c r="K68" s="76" t="s">
        <v>40</v>
      </c>
      <c r="L68" s="104" t="s">
        <v>238</v>
      </c>
    </row>
    <row r="69" spans="2:12" x14ac:dyDescent="0.25">
      <c r="G69" s="104"/>
    </row>
    <row r="71" spans="2:12" s="110" customFormat="1" x14ac:dyDescent="0.25">
      <c r="B71" s="111" t="s">
        <v>191</v>
      </c>
    </row>
    <row r="72" spans="2:12" x14ac:dyDescent="0.25">
      <c r="B72" s="51"/>
    </row>
    <row r="73" spans="2:12" x14ac:dyDescent="0.25">
      <c r="B73" s="32" t="s">
        <v>190</v>
      </c>
      <c r="K73" s="76"/>
    </row>
    <row r="74" spans="2:12" x14ac:dyDescent="0.25">
      <c r="B74" s="32" t="s">
        <v>188</v>
      </c>
      <c r="E74" s="107" t="s">
        <v>189</v>
      </c>
      <c r="K74" s="76"/>
    </row>
    <row r="75" spans="2:12" x14ac:dyDescent="0.25">
      <c r="B75" s="32" t="s">
        <v>184</v>
      </c>
      <c r="K75" s="76"/>
    </row>
    <row r="76" spans="2:12" x14ac:dyDescent="0.25">
      <c r="B76" s="107" t="s">
        <v>168</v>
      </c>
    </row>
    <row r="77" spans="2:12" x14ac:dyDescent="0.25">
      <c r="B77" s="32" t="s">
        <v>169</v>
      </c>
    </row>
    <row r="78" spans="2:12" x14ac:dyDescent="0.25">
      <c r="B78" s="76"/>
    </row>
    <row r="79" spans="2:12" s="110" customFormat="1" x14ac:dyDescent="0.25">
      <c r="B79" s="111" t="s">
        <v>111</v>
      </c>
    </row>
    <row r="80" spans="2:12" x14ac:dyDescent="0.25">
      <c r="B80" s="51"/>
    </row>
    <row r="81" spans="1:61" x14ac:dyDescent="0.25">
      <c r="B81" s="32" t="s">
        <v>114</v>
      </c>
    </row>
    <row r="82" spans="1:61" x14ac:dyDescent="0.25">
      <c r="B82" s="32" t="s">
        <v>113</v>
      </c>
    </row>
    <row r="83" spans="1:61" x14ac:dyDescent="0.25">
      <c r="B83" s="32" t="s">
        <v>112</v>
      </c>
    </row>
    <row r="85" spans="1:61" s="110" customFormat="1" x14ac:dyDescent="0.25">
      <c r="B85" s="111" t="s">
        <v>41</v>
      </c>
    </row>
    <row r="86" spans="1:61" x14ac:dyDescent="0.25">
      <c r="B86" s="51"/>
    </row>
    <row r="87" spans="1:61" x14ac:dyDescent="0.25">
      <c r="B87" s="32" t="s">
        <v>94</v>
      </c>
    </row>
    <row r="88" spans="1:61" x14ac:dyDescent="0.25">
      <c r="B88" s="32" t="s">
        <v>92</v>
      </c>
    </row>
    <row r="91" spans="1:61" x14ac:dyDescent="0.25">
      <c r="H91" s="92" t="s">
        <v>95</v>
      </c>
      <c r="I91" s="76"/>
      <c r="J91" s="76"/>
      <c r="K91" s="76"/>
      <c r="L91" s="76"/>
      <c r="M91" s="76"/>
      <c r="N91" s="76"/>
      <c r="O91" s="76"/>
    </row>
    <row r="92" spans="1:61" x14ac:dyDescent="0.25">
      <c r="H92" s="92" t="s">
        <v>96</v>
      </c>
      <c r="I92" s="76"/>
      <c r="J92" s="76"/>
      <c r="K92" s="76"/>
      <c r="L92" s="76"/>
      <c r="M92" s="76"/>
      <c r="N92" s="76"/>
      <c r="O92" s="76"/>
    </row>
    <row r="93" spans="1:61" x14ac:dyDescent="0.25">
      <c r="H93" s="76" t="s">
        <v>97</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1" customFormat="1" x14ac:dyDescent="0.25">
      <c r="B110" s="111" t="s">
        <v>203</v>
      </c>
    </row>
    <row r="112" spans="1:61" x14ac:dyDescent="0.25">
      <c r="B112" s="51" t="s">
        <v>298</v>
      </c>
    </row>
    <row r="113" spans="1:15" x14ac:dyDescent="0.25">
      <c r="B113" s="32" t="s">
        <v>301</v>
      </c>
    </row>
    <row r="114" spans="1:15" x14ac:dyDescent="0.25">
      <c r="B114" s="32" t="s">
        <v>302</v>
      </c>
      <c r="O114" s="32" t="s">
        <v>204</v>
      </c>
    </row>
    <row r="115" spans="1:15" x14ac:dyDescent="0.25">
      <c r="B115" s="32" t="s">
        <v>262</v>
      </c>
    </row>
    <row r="116" spans="1:15" x14ac:dyDescent="0.25">
      <c r="B116" s="32" t="s">
        <v>206</v>
      </c>
      <c r="O116" s="32" t="s">
        <v>205</v>
      </c>
    </row>
    <row r="117" spans="1:15" x14ac:dyDescent="0.25">
      <c r="B117" s="32" t="s">
        <v>207</v>
      </c>
    </row>
    <row r="118" spans="1:15" x14ac:dyDescent="0.25">
      <c r="B118" s="32" t="s">
        <v>208</v>
      </c>
    </row>
    <row r="119" spans="1:15" x14ac:dyDescent="0.25">
      <c r="B119" s="32" t="s">
        <v>209</v>
      </c>
    </row>
    <row r="121" spans="1:15" s="110" customFormat="1" x14ac:dyDescent="0.25">
      <c r="B121" s="111" t="s">
        <v>170</v>
      </c>
    </row>
    <row r="122" spans="1:15" x14ac:dyDescent="0.25">
      <c r="B122" s="51"/>
    </row>
    <row r="123" spans="1:15" x14ac:dyDescent="0.25">
      <c r="B123" s="32" t="s">
        <v>299</v>
      </c>
      <c r="E123" s="93">
        <v>0.8</v>
      </c>
      <c r="F123" s="32" t="s">
        <v>65</v>
      </c>
    </row>
    <row r="124" spans="1:15" x14ac:dyDescent="0.25">
      <c r="B124" s="32" t="s">
        <v>98</v>
      </c>
      <c r="C124" s="51"/>
      <c r="D124" s="51"/>
    </row>
    <row r="125" spans="1:15" x14ac:dyDescent="0.25">
      <c r="A125" s="95"/>
      <c r="B125" s="32" t="s">
        <v>300</v>
      </c>
      <c r="D125" s="93"/>
    </row>
    <row r="126" spans="1:15" x14ac:dyDescent="0.25">
      <c r="A126" s="95"/>
      <c r="B126" s="199"/>
      <c r="C126" s="199"/>
      <c r="D126" s="199"/>
      <c r="E126" s="199"/>
      <c r="F126" s="199"/>
      <c r="G126" s="199"/>
      <c r="H126" s="199"/>
      <c r="I126" s="199"/>
      <c r="J126" s="199"/>
      <c r="K126" s="199"/>
    </row>
    <row r="127" spans="1:15" x14ac:dyDescent="0.25">
      <c r="B127" s="76" t="s">
        <v>122</v>
      </c>
    </row>
    <row r="129" spans="1:61" x14ac:dyDescent="0.25">
      <c r="B129" s="51" t="s">
        <v>66</v>
      </c>
    </row>
    <row r="130" spans="1:61" x14ac:dyDescent="0.25">
      <c r="B130" s="32" t="s">
        <v>67</v>
      </c>
    </row>
    <row r="131" spans="1:61" x14ac:dyDescent="0.25">
      <c r="B131" s="200" t="s">
        <v>69</v>
      </c>
      <c r="C131" s="200"/>
      <c r="D131" s="200"/>
      <c r="E131" s="200"/>
      <c r="F131" s="200"/>
      <c r="G131" s="200"/>
      <c r="H131" s="200"/>
      <c r="I131" s="200"/>
      <c r="J131" s="200"/>
      <c r="K131" s="200"/>
    </row>
    <row r="132" spans="1:61" x14ac:dyDescent="0.25">
      <c r="B132" s="200"/>
      <c r="C132" s="200"/>
      <c r="D132" s="200"/>
      <c r="E132" s="200"/>
      <c r="F132" s="200"/>
      <c r="G132" s="200"/>
      <c r="H132" s="200"/>
      <c r="I132" s="200"/>
      <c r="J132" s="200"/>
      <c r="K132" s="200"/>
    </row>
    <row r="133" spans="1:61" x14ac:dyDescent="0.25">
      <c r="B133" s="76" t="s">
        <v>123</v>
      </c>
    </row>
    <row r="134" spans="1:61" x14ac:dyDescent="0.25">
      <c r="B134" s="76" t="s">
        <v>68</v>
      </c>
    </row>
    <row r="136" spans="1:61" s="91" customForma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25">
      <c r="B137" s="111" t="s">
        <v>234</v>
      </c>
      <c r="O137" s="111" t="s">
        <v>121</v>
      </c>
    </row>
    <row r="138" spans="1:61" x14ac:dyDescent="0.25">
      <c r="B138" s="51"/>
      <c r="O138" s="51"/>
    </row>
    <row r="139" spans="1:61" x14ac:dyDescent="0.25">
      <c r="B139" s="32" t="s">
        <v>235</v>
      </c>
    </row>
    <row r="140" spans="1:61" ht="17.25" customHeight="1" x14ac:dyDescent="0.25">
      <c r="B140" s="32" t="s">
        <v>101</v>
      </c>
      <c r="O140" s="32" t="s">
        <v>125</v>
      </c>
      <c r="S140" s="32" t="s">
        <v>124</v>
      </c>
    </row>
    <row r="141" spans="1:61" x14ac:dyDescent="0.25">
      <c r="B141" s="32" t="s">
        <v>236</v>
      </c>
      <c r="O141" s="32" t="s">
        <v>128</v>
      </c>
      <c r="S141" s="32" t="s">
        <v>126</v>
      </c>
    </row>
    <row r="142" spans="1:61" x14ac:dyDescent="0.25">
      <c r="B142" s="130" t="s">
        <v>198</v>
      </c>
      <c r="C142" s="130"/>
      <c r="D142" s="130"/>
      <c r="E142" s="130"/>
      <c r="F142" s="130"/>
      <c r="G142" s="130"/>
      <c r="H142" s="130"/>
      <c r="I142" s="130"/>
      <c r="J142" s="130"/>
      <c r="K142" s="130"/>
      <c r="L142" s="130"/>
      <c r="M142" s="130"/>
      <c r="S142" s="32" t="s">
        <v>127</v>
      </c>
    </row>
    <row r="143" spans="1:61" x14ac:dyDescent="0.25">
      <c r="B143" s="130" t="s">
        <v>237</v>
      </c>
      <c r="C143" s="130"/>
      <c r="D143" s="130"/>
      <c r="E143" s="130"/>
      <c r="F143" s="130"/>
      <c r="G143" s="130"/>
      <c r="H143" s="130"/>
      <c r="I143" s="130"/>
      <c r="J143" s="130"/>
      <c r="K143" s="130"/>
      <c r="L143" s="130"/>
      <c r="M143" s="130"/>
    </row>
    <row r="145" spans="1:61" x14ac:dyDescent="0.25">
      <c r="B145" s="32" t="s">
        <v>105</v>
      </c>
    </row>
    <row r="146" spans="1:61" x14ac:dyDescent="0.25">
      <c r="B146" s="76" t="s">
        <v>102</v>
      </c>
    </row>
    <row r="148" spans="1:61" x14ac:dyDescent="0.25">
      <c r="E148" s="32" t="s">
        <v>103</v>
      </c>
      <c r="G148" s="32" t="s">
        <v>104</v>
      </c>
    </row>
    <row r="149" spans="1:61" x14ac:dyDescent="0.25">
      <c r="B149" s="32" t="s">
        <v>106</v>
      </c>
      <c r="E149" s="32">
        <v>3.15</v>
      </c>
      <c r="G149" s="32">
        <v>4.05</v>
      </c>
    </row>
    <row r="151" spans="1:61" s="91" customFormat="1" x14ac:dyDescent="0.25">
      <c r="A151" s="32"/>
      <c r="B151" s="32" t="s">
        <v>107</v>
      </c>
      <c r="C151" s="32"/>
      <c r="D151" s="32"/>
      <c r="E151" s="32">
        <v>2.95</v>
      </c>
      <c r="F151" s="32"/>
      <c r="G151" s="32">
        <v>3.75</v>
      </c>
      <c r="H151" s="32"/>
      <c r="I151" s="32" t="s">
        <v>117</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25">
      <c r="I152" s="96" t="s">
        <v>118</v>
      </c>
    </row>
    <row r="153" spans="1:61" x14ac:dyDescent="0.25">
      <c r="B153" s="32" t="s">
        <v>108</v>
      </c>
      <c r="E153" s="32">
        <v>3.45</v>
      </c>
      <c r="G153" s="32">
        <v>4.3499999999999996</v>
      </c>
    </row>
    <row r="155" spans="1:61" x14ac:dyDescent="0.25">
      <c r="B155" s="32" t="s">
        <v>109</v>
      </c>
      <c r="E155" s="32">
        <v>3.25</v>
      </c>
      <c r="G155" s="32">
        <v>4.05</v>
      </c>
      <c r="I155" s="32" t="s">
        <v>119</v>
      </c>
    </row>
    <row r="156" spans="1:61" x14ac:dyDescent="0.25">
      <c r="I156" s="32" t="s">
        <v>118</v>
      </c>
    </row>
    <row r="159" spans="1:61" s="110" customFormat="1" x14ac:dyDescent="0.25">
      <c r="B159" s="111" t="s">
        <v>254</v>
      </c>
    </row>
    <row r="161" spans="2:2" x14ac:dyDescent="0.25">
      <c r="B161" s="148" t="s">
        <v>246</v>
      </c>
    </row>
    <row r="162" spans="2:2" x14ac:dyDescent="0.25">
      <c r="B162" s="148" t="s">
        <v>249</v>
      </c>
    </row>
    <row r="163" spans="2:2" x14ac:dyDescent="0.25">
      <c r="B163" s="148" t="s">
        <v>247</v>
      </c>
    </row>
    <row r="164" spans="2:2" x14ac:dyDescent="0.25">
      <c r="B164" s="148" t="s">
        <v>248</v>
      </c>
    </row>
    <row r="165" spans="2:2" x14ac:dyDescent="0.25">
      <c r="B165" s="149" t="s">
        <v>250</v>
      </c>
    </row>
    <row r="167" spans="2:2" x14ac:dyDescent="0.25">
      <c r="B167" s="51" t="s">
        <v>251</v>
      </c>
    </row>
    <row r="168" spans="2:2" x14ac:dyDescent="0.25">
      <c r="B168" s="147" t="s">
        <v>252</v>
      </c>
    </row>
    <row r="169" spans="2:2" x14ac:dyDescent="0.25">
      <c r="B169" s="150" t="s">
        <v>253</v>
      </c>
    </row>
    <row r="194" spans="2:9" ht="15.6" customHeight="1" x14ac:dyDescent="0.25">
      <c r="B194" s="199" t="s">
        <v>260</v>
      </c>
      <c r="C194" s="199"/>
      <c r="D194" s="199"/>
      <c r="E194" s="199"/>
      <c r="F194" s="199"/>
      <c r="G194" s="199"/>
      <c r="H194" s="199"/>
      <c r="I194" s="199"/>
    </row>
    <row r="195" spans="2:9" x14ac:dyDescent="0.25">
      <c r="B195" s="199"/>
      <c r="C195" s="199"/>
      <c r="D195" s="199"/>
      <c r="E195" s="199"/>
      <c r="F195" s="199"/>
      <c r="G195" s="199"/>
      <c r="H195" s="199"/>
      <c r="I195" s="199"/>
    </row>
    <row r="196" spans="2:9" x14ac:dyDescent="0.25">
      <c r="B196" s="199"/>
      <c r="C196" s="199"/>
      <c r="D196" s="199"/>
      <c r="E196" s="199"/>
      <c r="F196" s="199"/>
      <c r="G196" s="199"/>
      <c r="H196" s="199"/>
      <c r="I196" s="199"/>
    </row>
    <row r="197" spans="2:9" x14ac:dyDescent="0.25">
      <c r="B197" s="199"/>
      <c r="C197" s="199"/>
      <c r="D197" s="199"/>
      <c r="E197" s="199"/>
      <c r="F197" s="199"/>
      <c r="G197" s="199"/>
      <c r="H197" s="199"/>
      <c r="I197" s="199"/>
    </row>
    <row r="198" spans="2:9" x14ac:dyDescent="0.25">
      <c r="B198" s="199"/>
      <c r="C198" s="199"/>
      <c r="D198" s="199"/>
      <c r="E198" s="199"/>
      <c r="F198" s="199"/>
      <c r="G198" s="199"/>
      <c r="H198" s="199"/>
      <c r="I198" s="199"/>
    </row>
    <row r="199" spans="2:9" x14ac:dyDescent="0.25">
      <c r="B199" s="199"/>
      <c r="C199" s="199"/>
      <c r="D199" s="199"/>
      <c r="E199" s="199"/>
      <c r="F199" s="199"/>
      <c r="G199" s="199"/>
      <c r="H199" s="199"/>
      <c r="I199" s="199"/>
    </row>
    <row r="200" spans="2:9" x14ac:dyDescent="0.25">
      <c r="B200" s="199"/>
      <c r="C200" s="199"/>
      <c r="D200" s="199"/>
      <c r="E200" s="199"/>
      <c r="F200" s="199"/>
      <c r="G200" s="199"/>
      <c r="H200" s="199"/>
      <c r="I200" s="199"/>
    </row>
    <row r="201" spans="2:9" x14ac:dyDescent="0.25">
      <c r="B201" s="199"/>
      <c r="C201" s="199"/>
      <c r="D201" s="199"/>
      <c r="E201" s="199"/>
      <c r="F201" s="199"/>
      <c r="G201" s="199"/>
      <c r="H201" s="199"/>
      <c r="I201" s="199"/>
    </row>
    <row r="202" spans="2:9" x14ac:dyDescent="0.25">
      <c r="B202" s="32" t="s">
        <v>256</v>
      </c>
      <c r="D202" s="146" t="s">
        <v>255</v>
      </c>
    </row>
    <row r="211" spans="2:15" s="110" customFormat="1" x14ac:dyDescent="0.25">
      <c r="B211" s="111" t="s">
        <v>257</v>
      </c>
    </row>
    <row r="213" spans="2:15" ht="15.6" customHeight="1" x14ac:dyDescent="0.25">
      <c r="B213" s="152" t="s">
        <v>270</v>
      </c>
      <c r="C213" s="151"/>
      <c r="D213" s="151"/>
      <c r="E213" s="151"/>
      <c r="F213" s="151"/>
      <c r="G213" s="151"/>
      <c r="H213" s="151"/>
      <c r="I213" s="151"/>
      <c r="J213" s="151"/>
      <c r="K213" s="151"/>
      <c r="L213" s="151"/>
      <c r="M213" s="151"/>
      <c r="N213" s="151"/>
      <c r="O213" s="151"/>
    </row>
    <row r="214" spans="2:15" x14ac:dyDescent="0.25">
      <c r="B214" s="152" t="s">
        <v>271</v>
      </c>
      <c r="C214" s="151"/>
      <c r="D214" s="151"/>
      <c r="E214" s="151"/>
      <c r="F214" s="151"/>
      <c r="G214" s="151"/>
      <c r="H214" s="151"/>
      <c r="I214" s="151"/>
      <c r="J214" s="151"/>
      <c r="K214" s="151"/>
      <c r="L214" s="151"/>
      <c r="M214" s="151"/>
      <c r="N214" s="151"/>
      <c r="O214" s="151"/>
    </row>
    <row r="215" spans="2:15" x14ac:dyDescent="0.25">
      <c r="B215" s="151"/>
      <c r="C215" s="151"/>
      <c r="D215" s="151"/>
      <c r="E215" s="151"/>
      <c r="F215" s="151"/>
      <c r="G215" s="151"/>
      <c r="H215" s="151"/>
      <c r="I215" s="151"/>
      <c r="J215" s="151"/>
      <c r="K215" s="151"/>
      <c r="L215" s="151"/>
      <c r="M215" s="151"/>
      <c r="N215" s="151"/>
      <c r="O215" s="151"/>
    </row>
    <row r="216" spans="2:15" x14ac:dyDescent="0.25">
      <c r="B216" s="32" t="s">
        <v>258</v>
      </c>
      <c r="C216" s="151"/>
      <c r="D216" s="151"/>
      <c r="E216" s="151"/>
      <c r="F216" s="151"/>
      <c r="G216" s="151"/>
      <c r="H216" s="151"/>
      <c r="I216" s="151"/>
      <c r="J216" s="151"/>
    </row>
    <row r="217" spans="2:15" x14ac:dyDescent="0.25">
      <c r="B217" s="149" t="s">
        <v>245</v>
      </c>
      <c r="C217" s="151"/>
      <c r="D217" s="151"/>
      <c r="E217" s="151"/>
      <c r="F217" s="151"/>
      <c r="G217" s="151"/>
      <c r="H217" s="151"/>
      <c r="I217" s="151"/>
      <c r="J217" s="151"/>
    </row>
    <row r="218" spans="2:15" x14ac:dyDescent="0.25">
      <c r="B218" s="32" t="s">
        <v>259</v>
      </c>
    </row>
    <row r="221" spans="2:15" x14ac:dyDescent="0.25">
      <c r="B221" s="51" t="s">
        <v>264</v>
      </c>
    </row>
    <row r="222" spans="2:15" x14ac:dyDescent="0.25">
      <c r="B222" s="32" t="s">
        <v>266</v>
      </c>
    </row>
    <row r="223" spans="2:15" x14ac:dyDescent="0.25">
      <c r="B223" s="107" t="s">
        <v>265</v>
      </c>
    </row>
    <row r="224" spans="2:15" x14ac:dyDescent="0.25">
      <c r="B224" s="178" t="s">
        <v>290</v>
      </c>
    </row>
    <row r="225" spans="2:11" x14ac:dyDescent="0.25">
      <c r="B225" s="32" t="s">
        <v>267</v>
      </c>
    </row>
    <row r="226" spans="2:11" x14ac:dyDescent="0.25">
      <c r="B226" s="32" t="s">
        <v>292</v>
      </c>
    </row>
    <row r="227" spans="2:11" x14ac:dyDescent="0.25">
      <c r="B227" s="32" t="s">
        <v>268</v>
      </c>
    </row>
    <row r="228" spans="2:11" x14ac:dyDescent="0.25">
      <c r="B228" s="32" t="s">
        <v>269</v>
      </c>
    </row>
    <row r="229" spans="2:11" x14ac:dyDescent="0.25">
      <c r="B229" s="32" t="s">
        <v>293</v>
      </c>
    </row>
    <row r="230" spans="2:11" x14ac:dyDescent="0.25">
      <c r="B230" s="32" t="s">
        <v>291</v>
      </c>
    </row>
    <row r="233" spans="2:11" s="112" customFormat="1" x14ac:dyDescent="0.25">
      <c r="B233" s="181" t="s">
        <v>171</v>
      </c>
    </row>
    <row r="235" spans="2:11" x14ac:dyDescent="0.25">
      <c r="B235" s="51" t="s">
        <v>42</v>
      </c>
    </row>
    <row r="237" spans="2:11" x14ac:dyDescent="0.25">
      <c r="B237" s="97" t="s">
        <v>0</v>
      </c>
      <c r="C237" s="51" t="s">
        <v>1</v>
      </c>
      <c r="D237" s="93"/>
      <c r="E237" s="97"/>
      <c r="F237" s="93"/>
    </row>
    <row r="238" spans="2:11" x14ac:dyDescent="0.25">
      <c r="B238" s="93">
        <v>2011</v>
      </c>
      <c r="C238" s="98">
        <v>2979.4</v>
      </c>
      <c r="D238" s="93"/>
      <c r="E238" s="96"/>
      <c r="H238" s="98"/>
      <c r="I238" s="93"/>
      <c r="J238" s="93"/>
      <c r="K238" s="93"/>
    </row>
    <row r="239" spans="2:11" x14ac:dyDescent="0.25">
      <c r="B239" s="93">
        <v>2012</v>
      </c>
      <c r="C239" s="98">
        <v>3235.4</v>
      </c>
      <c r="D239" s="93"/>
      <c r="E239" s="96"/>
      <c r="H239" s="98"/>
      <c r="I239" s="93"/>
      <c r="J239" s="93"/>
      <c r="K239" s="93"/>
    </row>
    <row r="240" spans="2:11" x14ac:dyDescent="0.25">
      <c r="B240" s="93">
        <v>2013</v>
      </c>
      <c r="C240" s="98">
        <v>3208.8</v>
      </c>
      <c r="D240" s="93"/>
      <c r="E240" s="96"/>
      <c r="H240" s="98"/>
      <c r="I240" s="93"/>
      <c r="J240" s="93"/>
      <c r="K240" s="93"/>
    </row>
    <row r="241" spans="1:61" x14ac:dyDescent="0.25">
      <c r="B241" s="93">
        <v>2014</v>
      </c>
      <c r="C241" s="98">
        <v>2663.5</v>
      </c>
      <c r="D241" s="93"/>
      <c r="E241" s="93"/>
      <c r="F241" s="98"/>
      <c r="G241" s="93"/>
      <c r="H241" s="93"/>
      <c r="I241" s="93"/>
      <c r="J241" s="93"/>
      <c r="K241" s="93"/>
    </row>
    <row r="242" spans="1:61" x14ac:dyDescent="0.25">
      <c r="B242" s="93">
        <v>2015</v>
      </c>
      <c r="C242" s="98">
        <v>2921.8</v>
      </c>
      <c r="D242" s="93"/>
      <c r="E242" s="93"/>
      <c r="F242" s="93"/>
      <c r="G242" s="93"/>
      <c r="H242" s="93"/>
      <c r="I242" s="93"/>
      <c r="J242" s="93"/>
      <c r="K242" s="93"/>
    </row>
    <row r="243" spans="1:61" x14ac:dyDescent="0.25">
      <c r="B243" s="93">
        <v>2016</v>
      </c>
      <c r="C243" s="98">
        <v>2998.9</v>
      </c>
      <c r="D243" s="93"/>
      <c r="E243" s="93"/>
      <c r="F243" s="93"/>
      <c r="G243" s="93"/>
      <c r="H243" s="93"/>
      <c r="I243" s="93"/>
      <c r="J243" s="93"/>
      <c r="K243" s="93"/>
    </row>
    <row r="244" spans="1:61" x14ac:dyDescent="0.25">
      <c r="B244" s="93">
        <v>2017</v>
      </c>
      <c r="C244" s="98">
        <v>2971.4</v>
      </c>
      <c r="D244" s="93"/>
      <c r="E244" s="93"/>
      <c r="F244" s="93"/>
      <c r="G244" s="93"/>
      <c r="H244" s="93"/>
      <c r="I244" s="93"/>
      <c r="J244" s="93"/>
      <c r="K244" s="93"/>
    </row>
    <row r="245" spans="1:61" s="91" customFormat="1" x14ac:dyDescent="0.25">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25">
      <c r="B246" s="93">
        <v>2019</v>
      </c>
      <c r="C246" s="98">
        <v>2847.3</v>
      </c>
      <c r="D246" s="93"/>
      <c r="E246" s="93"/>
      <c r="F246" s="93"/>
      <c r="G246" s="93"/>
      <c r="H246" s="93"/>
      <c r="I246" s="93"/>
      <c r="J246" s="93"/>
      <c r="K246" s="93"/>
    </row>
    <row r="247" spans="1:61" x14ac:dyDescent="0.25">
      <c r="B247" s="93">
        <v>2020</v>
      </c>
      <c r="C247" s="98">
        <v>2714.5</v>
      </c>
      <c r="D247" s="93"/>
      <c r="E247" s="93"/>
      <c r="F247" s="93"/>
      <c r="G247" s="93"/>
      <c r="H247" s="93"/>
      <c r="I247" s="93"/>
      <c r="J247" s="93"/>
      <c r="K247" s="93"/>
    </row>
    <row r="248" spans="1:61" x14ac:dyDescent="0.25">
      <c r="B248" s="93">
        <v>2021</v>
      </c>
      <c r="C248" s="98">
        <v>3098.4</v>
      </c>
      <c r="D248" s="93"/>
      <c r="E248" s="93"/>
      <c r="F248" s="93"/>
      <c r="G248" s="93"/>
      <c r="H248" s="93"/>
      <c r="I248" s="93"/>
      <c r="J248" s="93"/>
      <c r="K248" s="93"/>
    </row>
    <row r="249" spans="1:61" x14ac:dyDescent="0.25">
      <c r="B249" s="93">
        <v>2022</v>
      </c>
      <c r="C249" s="93">
        <v>2547.6999999999998</v>
      </c>
      <c r="D249" s="93"/>
      <c r="E249" s="93"/>
      <c r="F249" s="93"/>
      <c r="G249" s="93"/>
      <c r="H249" s="93"/>
      <c r="I249" s="93"/>
      <c r="J249" s="93"/>
      <c r="K249" s="93"/>
    </row>
    <row r="250" spans="1:61" x14ac:dyDescent="0.25">
      <c r="B250" s="93">
        <v>2023</v>
      </c>
      <c r="C250" s="182">
        <v>2605.23</v>
      </c>
      <c r="D250" s="93"/>
      <c r="E250" s="93"/>
      <c r="F250" s="93"/>
      <c r="G250" s="93"/>
      <c r="H250" s="93"/>
      <c r="I250" s="93"/>
      <c r="J250" s="93"/>
      <c r="K250" s="93"/>
    </row>
    <row r="251" spans="1:61" x14ac:dyDescent="0.25">
      <c r="B251" s="93">
        <v>2024</v>
      </c>
      <c r="C251" s="182" t="s">
        <v>7</v>
      </c>
      <c r="D251" s="93"/>
      <c r="E251" s="93"/>
      <c r="F251" s="93"/>
      <c r="G251" s="93"/>
      <c r="H251" s="93"/>
      <c r="I251" s="93"/>
      <c r="J251" s="93"/>
      <c r="K251" s="93"/>
    </row>
    <row r="252" spans="1:61" x14ac:dyDescent="0.25">
      <c r="B252" s="93"/>
      <c r="C252" s="93"/>
      <c r="D252" s="93"/>
      <c r="E252" s="93"/>
      <c r="F252" s="93"/>
      <c r="G252" s="93"/>
      <c r="H252" s="93"/>
      <c r="I252" s="93"/>
      <c r="J252" s="93"/>
      <c r="K252" s="93"/>
    </row>
    <row r="253" spans="1:61" x14ac:dyDescent="0.25">
      <c r="B253" s="93" t="s">
        <v>8</v>
      </c>
      <c r="C253" s="98">
        <v>2957</v>
      </c>
      <c r="D253" s="96" t="s">
        <v>294</v>
      </c>
      <c r="E253" s="93"/>
      <c r="F253" s="93"/>
      <c r="G253" s="93"/>
      <c r="H253" s="93"/>
      <c r="I253" s="93"/>
      <c r="J253" s="93"/>
      <c r="K253" s="93"/>
    </row>
    <row r="254" spans="1:61" x14ac:dyDescent="0.25">
      <c r="B254" s="92" t="s">
        <v>295</v>
      </c>
      <c r="D254" s="93"/>
      <c r="E254" s="93"/>
      <c r="F254" s="93"/>
      <c r="G254" s="93"/>
      <c r="H254" s="93"/>
      <c r="I254" s="93"/>
      <c r="J254" s="93"/>
      <c r="K254" s="93"/>
    </row>
    <row r="257" spans="2:6" x14ac:dyDescent="0.25">
      <c r="B257" s="51" t="s">
        <v>39</v>
      </c>
    </row>
    <row r="258" spans="2:6" x14ac:dyDescent="0.25">
      <c r="B258" s="32" t="s">
        <v>28</v>
      </c>
      <c r="E258" s="32">
        <v>11.02</v>
      </c>
      <c r="F258" s="32" t="s">
        <v>64</v>
      </c>
    </row>
    <row r="259" spans="2:6" x14ac:dyDescent="0.25">
      <c r="B259" s="32" t="s">
        <v>71</v>
      </c>
      <c r="E259" s="32">
        <v>4.8600000000000003</v>
      </c>
      <c r="F259" s="32" t="s">
        <v>72</v>
      </c>
    </row>
    <row r="260" spans="2:6" x14ac:dyDescent="0.25">
      <c r="B260" s="21" t="s">
        <v>38</v>
      </c>
    </row>
    <row r="263" spans="2:6" x14ac:dyDescent="0.25">
      <c r="B263" s="51" t="s">
        <v>43</v>
      </c>
    </row>
    <row r="264" spans="2:6" x14ac:dyDescent="0.25">
      <c r="B264" s="32" t="s">
        <v>15</v>
      </c>
      <c r="D264" s="32" t="s">
        <v>18</v>
      </c>
    </row>
    <row r="265" spans="2:6" x14ac:dyDescent="0.25">
      <c r="B265" s="32" t="s">
        <v>4</v>
      </c>
      <c r="D265" s="32" t="s">
        <v>19</v>
      </c>
    </row>
    <row r="269" spans="2:6" x14ac:dyDescent="0.25">
      <c r="B269" s="32" t="s">
        <v>303</v>
      </c>
    </row>
    <row r="270" spans="2:6" x14ac:dyDescent="0.25">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230</v>
      </c>
      <c r="D5" s="202"/>
      <c r="E5" s="202"/>
      <c r="F5" s="202"/>
    </row>
    <row r="6" spans="2:10" ht="31.5" customHeight="1" x14ac:dyDescent="0.25">
      <c r="B6" s="77" t="s">
        <v>0</v>
      </c>
      <c r="C6" s="60" t="s">
        <v>3</v>
      </c>
      <c r="D6" s="59" t="s">
        <v>47</v>
      </c>
      <c r="E6" s="60" t="str">
        <f>IF(Prisberegner!$E$133="Ja","Varmepumpe","")</f>
        <v/>
      </c>
      <c r="F6" s="78" t="str">
        <f>IF(Prisberegner!$E$158="Ja","Træpillekedel","")</f>
        <v/>
      </c>
      <c r="G6" s="8" t="s">
        <v>281</v>
      </c>
      <c r="I6" s="162" t="s">
        <v>285</v>
      </c>
      <c r="J6" s="163"/>
    </row>
    <row r="7" spans="2:10" x14ac:dyDescent="0.25">
      <c r="B7" s="67">
        <v>1</v>
      </c>
      <c r="C7" s="68">
        <f>IF(B7&lt;Prisberegner!$E$50+1,Prisberegner!$E$47,IF(Prisberegner!$E$52&gt;0,Prisberegner!$E$55,Prisberegner!$E$47))</f>
        <v>22709.361660966591</v>
      </c>
      <c r="D7" s="144">
        <f>Prisberegner!$E$106+IF(B7&gt;Prisberegner!$E$92,-Prisberegner!$E$93,0)+IF(AND(B7&gt;Prisberegner!$E$98,Prisberegner!$E$102&gt;0),-(Prisberegner!$E$99-Prisberegner!$E$103),0)+IF(AND(Prisberegner!$D$82="Ja",'Tabel resultat'!B7&gt;Prisberegner!$E$83),-Prisberegner!$E$82*12,0)-IF(AND(Prisberegner!$E$98=1,B7&gt;1),Prisberegner!$E$99,0)</f>
        <v>18565.46930684182</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5">
        <f>C7-D7</f>
        <v>4143.8923541247714</v>
      </c>
      <c r="I7" s="164"/>
      <c r="J7" s="165"/>
    </row>
    <row r="8" spans="2:10" x14ac:dyDescent="0.25">
      <c r="B8" s="67">
        <v>2</v>
      </c>
      <c r="C8" s="68">
        <f>IF(B8&lt;Prisberegner!$E$50+1,Prisberegner!$E$47,IF(Prisberegner!$E$52&gt;0,Prisberegner!$E$55,Prisberegner!$E$47))</f>
        <v>22709.361660966591</v>
      </c>
      <c r="D8" s="144">
        <f>Prisberegner!$E$106+IF(B8&gt;Prisberegner!$E$92,-Prisberegner!$E$93,0)+IF(AND(B8&gt;Prisberegner!$E$98,Prisberegner!$E$102&gt;0),-(Prisberegner!$E$99-Prisberegner!$E$103),0)+IF(AND(Prisberegner!$D$82="Ja",'Tabel resultat'!B8&gt;Prisberegner!$E$83),-Prisberegner!$E$82*12,0)-IF(AND(Prisberegner!$E$98=1,B8&gt;1),Prisberegner!$E$99,0)</f>
        <v>18565.46930684182</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5">
        <f t="shared" ref="G8:G56" si="0">C8-D8</f>
        <v>4143.8923541247714</v>
      </c>
      <c r="I8" s="164" t="s">
        <v>278</v>
      </c>
      <c r="J8" s="166">
        <f>Prisberegner!E83</f>
        <v>15</v>
      </c>
    </row>
    <row r="9" spans="2:10" x14ac:dyDescent="0.25">
      <c r="B9" s="67">
        <v>3</v>
      </c>
      <c r="C9" s="68">
        <f>IF(B9&lt;Prisberegner!$E$50+1,Prisberegner!$E$47,IF(Prisberegner!$E$52&gt;0,Prisberegner!$E$55,Prisberegner!$E$47))</f>
        <v>22709.361660966591</v>
      </c>
      <c r="D9" s="144">
        <f>Prisberegner!$E$106+IF(B9&gt;Prisberegner!$E$92,-Prisberegner!$E$93,0)+IF(AND(B9&gt;Prisberegner!$E$98,Prisberegner!$E$102&gt;0),-(Prisberegner!$E$99-Prisberegner!$E$103),0)+IF(AND(Prisberegner!$D$82="Ja",'Tabel resultat'!B9&gt;Prisberegner!$E$83),-Prisberegner!$E$82*12,0)-IF(AND(Prisberegner!$E$98=1,B9&gt;1),Prisberegner!$E$99,0)</f>
        <v>18565.46930684182</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5">
        <f t="shared" si="0"/>
        <v>4143.8923541247714</v>
      </c>
      <c r="I9" s="167" t="s">
        <v>224</v>
      </c>
      <c r="J9" s="166">
        <f>Prisberegner!E92</f>
        <v>30</v>
      </c>
    </row>
    <row r="10" spans="2:10" x14ac:dyDescent="0.25">
      <c r="B10" s="67">
        <v>4</v>
      </c>
      <c r="C10" s="68">
        <f>IF(B10&lt;Prisberegner!$E$50+1,Prisberegner!$E$47,IF(Prisberegner!$E$52&gt;0,Prisberegner!$E$55,Prisberegner!$E$47))</f>
        <v>22709.361660966591</v>
      </c>
      <c r="D10" s="144">
        <f>Prisberegner!$E$106+IF(B10&gt;Prisberegner!$E$92,-Prisberegner!$E$93,0)+IF(AND(B10&gt;Prisberegner!$E$98,Prisberegner!$E$102&gt;0),-(Prisberegner!$E$99-Prisberegner!$E$103),0)+IF(AND(Prisberegner!$D$82="Ja",'Tabel resultat'!B10&gt;Prisberegner!$E$83),-Prisberegner!$E$82*12,0)-IF(AND(Prisberegner!$E$98=1,B10&gt;1),Prisberegner!$E$99,0)</f>
        <v>18565.46930684182</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5">
        <f t="shared" si="0"/>
        <v>4143.8923541247714</v>
      </c>
      <c r="I10" s="167" t="s">
        <v>222</v>
      </c>
      <c r="J10" s="166">
        <f>Prisberegner!E98</f>
        <v>25</v>
      </c>
    </row>
    <row r="11" spans="2:10" x14ac:dyDescent="0.25">
      <c r="B11" s="67">
        <v>5</v>
      </c>
      <c r="C11" s="68">
        <f>IF(B11&lt;Prisberegner!$E$50+1,Prisberegner!$E$47,IF(Prisberegner!$E$52&gt;0,Prisberegner!$E$55,Prisberegner!$E$47))</f>
        <v>22709.361660966591</v>
      </c>
      <c r="D11" s="144">
        <f>Prisberegner!$E$106+IF(B11&gt;Prisberegner!$E$92,-Prisberegner!$E$93,0)+IF(AND(B11&gt;Prisberegner!$E$98,Prisberegner!$E$102&gt;0),-(Prisberegner!$E$99-Prisberegner!$E$103),0)+IF(AND(Prisberegner!$D$82="Ja",'Tabel resultat'!B11&gt;Prisberegner!$E$83),-Prisberegner!$E$82*12,0)-IF(AND(Prisberegner!$E$98=1,B11&gt;1),Prisberegner!$E$99,0)</f>
        <v>18565.46930684182</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5">
        <f t="shared" si="0"/>
        <v>4143.8923541247714</v>
      </c>
      <c r="I11" s="167" t="s">
        <v>282</v>
      </c>
      <c r="J11" s="166">
        <f>Prisberegner!E50</f>
        <v>10</v>
      </c>
    </row>
    <row r="12" spans="2:10" x14ac:dyDescent="0.25">
      <c r="B12" s="67">
        <v>6</v>
      </c>
      <c r="C12" s="68">
        <f>IF(B12&lt;Prisberegner!$E$50+1,Prisberegner!$E$47,IF(Prisberegner!$E$52&gt;0,Prisberegner!$E$55,Prisberegner!$E$47))</f>
        <v>22709.361660966591</v>
      </c>
      <c r="D12" s="144">
        <f>Prisberegner!$E$106+IF(B12&gt;Prisberegner!$E$92,-Prisberegner!$E$93,0)+IF(AND(B12&gt;Prisberegner!$E$98,Prisberegner!$E$102&gt;0),-(Prisberegner!$E$99-Prisberegner!$E$103),0)+IF(AND(Prisberegner!$D$82="Ja",'Tabel resultat'!B12&gt;Prisberegner!$E$83),-Prisberegner!$E$82*12,0)-IF(AND(Prisberegner!$E$98=1,B12&gt;1),Prisberegner!$E$99,0)</f>
        <v>18565.46930684182</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5">
        <f t="shared" si="0"/>
        <v>4143.8923541247714</v>
      </c>
      <c r="I12" s="164"/>
      <c r="J12" s="165"/>
    </row>
    <row r="13" spans="2:10" x14ac:dyDescent="0.25">
      <c r="B13" s="67">
        <v>7</v>
      </c>
      <c r="C13" s="68">
        <f>IF(B13&lt;Prisberegner!$E$50+1,Prisberegner!$E$47,IF(Prisberegner!$E$52&gt;0,Prisberegner!$E$55,Prisberegner!$E$47))</f>
        <v>22709.361660966591</v>
      </c>
      <c r="D13" s="144">
        <f>Prisberegner!$E$106+IF(B13&gt;Prisberegner!$E$92,-Prisberegner!$E$93,0)+IF(AND(B13&gt;Prisberegner!$E$98,Prisberegner!$E$102&gt;0),-(Prisberegner!$E$99-Prisberegner!$E$103),0)+IF(AND(Prisberegner!$D$82="Ja",'Tabel resultat'!B13&gt;Prisberegner!$E$83),-Prisberegner!$E$82*12,0)-IF(AND(Prisberegner!$E$98=1,B13&gt;1),Prisberegner!$E$99,0)</f>
        <v>18565.46930684182</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5">
        <f t="shared" si="0"/>
        <v>4143.8923541247714</v>
      </c>
      <c r="I13" s="164"/>
      <c r="J13" s="165"/>
    </row>
    <row r="14" spans="2:10" x14ac:dyDescent="0.25">
      <c r="B14" s="67">
        <v>8</v>
      </c>
      <c r="C14" s="68">
        <f>IF(B14&lt;Prisberegner!$E$50+1,Prisberegner!$E$47,IF(Prisberegner!$E$52&gt;0,Prisberegner!$E$55,Prisberegner!$E$47))</f>
        <v>22709.361660966591</v>
      </c>
      <c r="D14" s="144">
        <f>Prisberegner!$E$106+IF(B14&gt;Prisberegner!$E$92,-Prisberegner!$E$93,0)+IF(AND(B14&gt;Prisberegner!$E$98,Prisberegner!$E$102&gt;0),-(Prisberegner!$E$99-Prisberegner!$E$103),0)+IF(AND(Prisberegner!$D$82="Ja",'Tabel resultat'!B14&gt;Prisberegner!$E$83),-Prisberegner!$E$82*12,0)-IF(AND(Prisberegner!$E$98=1,B14&gt;1),Prisberegner!$E$99,0)</f>
        <v>18565.46930684182</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5">
        <f t="shared" si="0"/>
        <v>4143.8923541247714</v>
      </c>
      <c r="I14" s="164" t="s">
        <v>277</v>
      </c>
      <c r="J14" s="165"/>
    </row>
    <row r="15" spans="2:10" x14ac:dyDescent="0.25">
      <c r="B15" s="67">
        <v>9</v>
      </c>
      <c r="C15" s="68">
        <f>IF(B15&lt;Prisberegner!$E$50+1,Prisberegner!$E$47,IF(Prisberegner!$E$52&gt;0,Prisberegner!$E$55,Prisberegner!$E$47))</f>
        <v>22709.361660966591</v>
      </c>
      <c r="D15" s="144">
        <f>Prisberegner!$E$106+IF(B15&gt;Prisberegner!$E$92,-Prisberegner!$E$93,0)+IF(AND(B15&gt;Prisberegner!$E$98,Prisberegner!$E$102&gt;0),-(Prisberegner!$E$99-Prisberegner!$E$103),0)+IF(AND(Prisberegner!$D$82="Ja",'Tabel resultat'!B15&gt;Prisberegner!$E$83),-Prisberegner!$E$82*12,0)-IF(AND(Prisberegner!$E$98=1,B15&gt;1),Prisberegner!$E$99,0)</f>
        <v>18565.46930684182</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5">
        <f t="shared" si="0"/>
        <v>4143.8923541247714</v>
      </c>
      <c r="I15" s="168">
        <f>D7</f>
        <v>18565.46930684182</v>
      </c>
      <c r="J15" s="165" t="s">
        <v>279</v>
      </c>
    </row>
    <row r="16" spans="2:10" x14ac:dyDescent="0.25">
      <c r="B16" s="67">
        <v>10</v>
      </c>
      <c r="C16" s="68">
        <f>IF(B16&lt;Prisberegner!$E$50+1,Prisberegner!$E$47,IF(Prisberegner!$E$52&gt;0,Prisberegner!$E$55,Prisberegner!$E$47))</f>
        <v>22709.361660966591</v>
      </c>
      <c r="D16" s="144">
        <f>Prisberegner!$E$106+IF(B16&gt;Prisberegner!$E$92,-Prisberegner!$E$93,0)+IF(AND(B16&gt;Prisberegner!$E$98,Prisberegner!$E$102&gt;0),-(Prisberegner!$E$99-Prisberegner!$E$103),0)+IF(AND(Prisberegner!$D$82="Ja",'Tabel resultat'!B16&gt;Prisberegner!$E$83),-Prisberegner!$E$82*12,0)-IF(AND(Prisberegner!$E$98=1,B16&gt;1),Prisberegner!$E$99,0)</f>
        <v>18565.46930684182</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5">
        <f t="shared" si="0"/>
        <v>4143.8923541247714</v>
      </c>
      <c r="I16" s="168" cm="1">
        <f t="array" aca="1" ref="I16" ca="1">IF(Prisberegner!$D$82="Nej",,INDIRECT(ADDRESS($J$8+7,4)))</f>
        <v>0</v>
      </c>
      <c r="J16" s="165" t="str">
        <f>IF(Prisberegner!$D$82="Nej","","Efter udløb af tillæg om "&amp;Prisberegner!$E$83&amp;" år")</f>
        <v/>
      </c>
    </row>
    <row r="17" spans="2:10" x14ac:dyDescent="0.25">
      <c r="B17" s="67">
        <v>11</v>
      </c>
      <c r="C17" s="68">
        <f>IF(B17&lt;Prisberegner!$E$50+1,Prisberegner!$E$47,IF(Prisberegner!$E$52&gt;0,Prisberegner!$E$55,Prisberegner!$E$47))</f>
        <v>25061.911426856659</v>
      </c>
      <c r="D17" s="144">
        <f>Prisberegner!$E$106+IF(B17&gt;Prisberegner!$E$92,-Prisberegner!$E$93,0)+IF(AND(B17&gt;Prisberegner!$E$98,Prisberegner!$E$102&gt;0),-(Prisberegner!$E$99-Prisberegner!$E$103),0)+IF(AND(Prisberegner!$D$82="Ja",'Tabel resultat'!B17&gt;Prisberegner!$E$83),-Prisberegner!$E$82*12,0)-IF(AND(Prisberegner!$E$98=1,B17&gt;1),Prisberegner!$E$99,0)</f>
        <v>18565.46930684182</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5">
        <f t="shared" si="0"/>
        <v>6496.442120014839</v>
      </c>
      <c r="I17" s="168" cm="1">
        <f t="array" aca="1" ref="I17" ca="1">IF(Prisberegner!$E$92=0,,INDIRECT(ADDRESS($J$9+7,4)))</f>
        <v>17800.180417038031</v>
      </c>
      <c r="J17" s="165"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25061.911426856659</v>
      </c>
      <c r="D18" s="144">
        <f>Prisberegner!$E$106+IF(B18&gt;Prisberegner!$E$92,-Prisberegner!$E$93,0)+IF(AND(B18&gt;Prisberegner!$E$98,Prisberegner!$E$102&gt;0),-(Prisberegner!$E$99-Prisberegner!$E$103),0)+IF(AND(Prisberegner!$D$82="Ja",'Tabel resultat'!B18&gt;Prisberegner!$E$83),-Prisberegner!$E$82*12,0)-IF(AND(Prisberegner!$E$98=1,B18&gt;1),Prisberegner!$E$99,0)</f>
        <v>18565.46930684182</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5">
        <f t="shared" si="0"/>
        <v>6496.442120014839</v>
      </c>
      <c r="I18" s="168" cm="1">
        <f t="array" aca="1" ref="I18" ca="1">IF(Prisberegner!$E$98=0,,INDIRECT(ADDRESS($J$10+7,4)))</f>
        <v>18565.46930684182</v>
      </c>
      <c r="J18" s="165"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25061.911426856659</v>
      </c>
      <c r="D19" s="144">
        <f>Prisberegner!$E$106+IF(B19&gt;Prisberegner!$E$92,-Prisberegner!$E$93,0)+IF(AND(B19&gt;Prisberegner!$E$98,Prisberegner!$E$102&gt;0),-(Prisberegner!$E$99-Prisberegner!$E$103),0)+IF(AND(Prisberegner!$D$82="Ja",'Tabel resultat'!B19&gt;Prisberegner!$E$83),-Prisberegner!$E$82*12,0)-IF(AND(Prisberegner!$E$98=1,B19&gt;1),Prisberegner!$E$99,0)</f>
        <v>18565.46930684182</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5">
        <f t="shared" si="0"/>
        <v>6496.442120014839</v>
      </c>
      <c r="I19" s="164"/>
      <c r="J19" s="165"/>
    </row>
    <row r="20" spans="2:10" x14ac:dyDescent="0.25">
      <c r="B20" s="67">
        <v>14</v>
      </c>
      <c r="C20" s="68">
        <f>IF(B20&lt;Prisberegner!$E$50+1,Prisberegner!$E$47,IF(Prisberegner!$E$52&gt;0,Prisberegner!$E$55,Prisberegner!$E$47))</f>
        <v>25061.911426856659</v>
      </c>
      <c r="D20" s="144">
        <f>Prisberegner!$E$106+IF(B20&gt;Prisberegner!$E$92,-Prisberegner!$E$93,0)+IF(AND(B20&gt;Prisberegner!$E$98,Prisberegner!$E$102&gt;0),-(Prisberegner!$E$99-Prisberegner!$E$103),0)+IF(AND(Prisberegner!$D$82="Ja",'Tabel resultat'!B20&gt;Prisberegner!$E$83),-Prisberegner!$E$82*12,0)-IF(AND(Prisberegner!$E$98=1,B20&gt;1),Prisberegner!$E$99,0)</f>
        <v>18565.46930684182</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5">
        <f t="shared" si="0"/>
        <v>6496.442120014839</v>
      </c>
      <c r="I20" s="169">
        <f>I15</f>
        <v>18565.46930684182</v>
      </c>
      <c r="J20" s="170" t="str">
        <f>J15</f>
        <v>Ved tilslutning (år 1)</v>
      </c>
    </row>
    <row r="21" spans="2:10" x14ac:dyDescent="0.25">
      <c r="B21" s="67">
        <v>15</v>
      </c>
      <c r="C21" s="68">
        <f>IF(B21&lt;Prisberegner!$E$50+1,Prisberegner!$E$47,IF(Prisberegner!$E$52&gt;0,Prisberegner!$E$55,Prisberegner!$E$47))</f>
        <v>25061.911426856659</v>
      </c>
      <c r="D21" s="144">
        <f>Prisberegner!$E$106+IF(B21&gt;Prisberegner!$E$92,-Prisberegner!$E$93,0)+IF(AND(B21&gt;Prisberegner!$E$98,Prisberegner!$E$102&gt;0),-(Prisberegner!$E$99-Prisberegner!$E$103),0)+IF(AND(Prisberegner!$D$82="Ja",'Tabel resultat'!B21&gt;Prisberegner!$E$83),-Prisberegner!$E$82*12,0)-IF(AND(Prisberegner!$E$98=1,B21&gt;1),Prisberegner!$E$99,0)</f>
        <v>18565.46930684182</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5">
        <f t="shared" si="0"/>
        <v>6496.442120014839</v>
      </c>
      <c r="I21" s="169" cm="1">
        <f t="array" aca="1" ref="I21:J23" ca="1">_xlfn._xlws.SORT(I16:J18,1,-1)</f>
        <v>18565.46930684182</v>
      </c>
      <c r="J21" s="170" t="str">
        <f ca="1"/>
        <v>Efter levetidsforlængelse eller ny unit om 25 år</v>
      </c>
    </row>
    <row r="22" spans="2:10" x14ac:dyDescent="0.25">
      <c r="B22" s="67">
        <v>16</v>
      </c>
      <c r="C22" s="68">
        <f>IF(B22&lt;Prisberegner!$E$50+1,Prisberegner!$E$47,IF(Prisberegner!$E$52&gt;0,Prisberegner!$E$55,Prisberegner!$E$47))</f>
        <v>25061.911426856659</v>
      </c>
      <c r="D22" s="144">
        <f>Prisberegner!$E$106+IF(B22&gt;Prisberegner!$E$92,-Prisberegner!$E$93,0)+IF(AND(B22&gt;Prisberegner!$E$98,Prisberegner!$E$102&gt;0),-(Prisberegner!$E$99-Prisberegner!$E$103),0)+IF(AND(Prisberegner!$D$82="Ja",'Tabel resultat'!B22&gt;Prisberegner!$E$83),-Prisberegner!$E$82*12,0)-IF(AND(Prisberegner!$E$98=1,B22&gt;1),Prisberegner!$E$99,0)</f>
        <v>18565.46930684182</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5">
        <f t="shared" si="0"/>
        <v>6496.442120014839</v>
      </c>
      <c r="I22" s="169">
        <f ca="1"/>
        <v>17800.180417038031</v>
      </c>
      <c r="J22" s="170" t="str">
        <f ca="1"/>
        <v>Efter afskrevne tilslutningsbidrag om 30 år</v>
      </c>
    </row>
    <row r="23" spans="2:10" x14ac:dyDescent="0.25">
      <c r="B23" s="67">
        <v>17</v>
      </c>
      <c r="C23" s="68">
        <f>IF(B23&lt;Prisberegner!$E$50+1,Prisberegner!$E$47,IF(Prisberegner!$E$52&gt;0,Prisberegner!$E$55,Prisberegner!$E$47))</f>
        <v>25061.911426856659</v>
      </c>
      <c r="D23" s="144">
        <f>Prisberegner!$E$106+IF(B23&gt;Prisberegner!$E$92,-Prisberegner!$E$93,0)+IF(AND(B23&gt;Prisberegner!$E$98,Prisberegner!$E$102&gt;0),-(Prisberegner!$E$99-Prisberegner!$E$103),0)+IF(AND(Prisberegner!$D$82="Ja",'Tabel resultat'!B23&gt;Prisberegner!$E$83),-Prisberegner!$E$82*12,0)-IF(AND(Prisberegner!$E$98=1,B23&gt;1),Prisberegner!$E$99,0)</f>
        <v>18565.46930684182</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5">
        <f t="shared" si="0"/>
        <v>6496.442120014839</v>
      </c>
      <c r="I23" s="169">
        <f ca="1"/>
        <v>0</v>
      </c>
      <c r="J23" s="170" t="str">
        <f ca="1"/>
        <v/>
      </c>
    </row>
    <row r="24" spans="2:10" x14ac:dyDescent="0.25">
      <c r="B24" s="67">
        <v>18</v>
      </c>
      <c r="C24" s="68">
        <f>IF(B24&lt;Prisberegner!$E$50+1,Prisberegner!$E$47,IF(Prisberegner!$E$52&gt;0,Prisberegner!$E$55,Prisberegner!$E$47))</f>
        <v>25061.911426856659</v>
      </c>
      <c r="D24" s="144">
        <f>Prisberegner!$E$106+IF(B24&gt;Prisberegner!$E$92,-Prisberegner!$E$93,0)+IF(AND(B24&gt;Prisberegner!$E$98,Prisberegner!$E$102&gt;0),-(Prisberegner!$E$99-Prisberegner!$E$103),0)+IF(AND(Prisberegner!$D$82="Ja",'Tabel resultat'!B24&gt;Prisberegner!$E$83),-Prisberegner!$E$82*12,0)-IF(AND(Prisberegner!$E$98=1,B24&gt;1),Prisberegner!$E$99,0)</f>
        <v>18565.46930684182</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5">
        <f t="shared" si="0"/>
        <v>6496.442120014839</v>
      </c>
      <c r="I24" s="169"/>
      <c r="J24" s="171"/>
    </row>
    <row r="25" spans="2:10" x14ac:dyDescent="0.25">
      <c r="B25" s="67">
        <v>19</v>
      </c>
      <c r="C25" s="68">
        <f>IF(B25&lt;Prisberegner!$E$50+1,Prisberegner!$E$47,IF(Prisberegner!$E$52&gt;0,Prisberegner!$E$55,Prisberegner!$E$47))</f>
        <v>25061.911426856659</v>
      </c>
      <c r="D25" s="144">
        <f>Prisberegner!$E$106+IF(B25&gt;Prisberegner!$E$92,-Prisberegner!$E$93,0)+IF(AND(B25&gt;Prisberegner!$E$98,Prisberegner!$E$102&gt;0),-(Prisberegner!$E$99-Prisberegner!$E$103),0)+IF(AND(Prisberegner!$D$82="Ja",'Tabel resultat'!B25&gt;Prisberegner!$E$83),-Prisberegner!$E$82*12,0)-IF(AND(Prisberegner!$E$98=1,B25&gt;1),Prisberegner!$E$99,0)</f>
        <v>18565.46930684182</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5">
        <f t="shared" si="0"/>
        <v>6496.442120014839</v>
      </c>
      <c r="I25" s="164"/>
      <c r="J25" s="165"/>
    </row>
    <row r="26" spans="2:10" x14ac:dyDescent="0.25">
      <c r="B26" s="67">
        <v>20</v>
      </c>
      <c r="C26" s="68">
        <f>IF(B26&lt;Prisberegner!$E$50+1,Prisberegner!$E$47,IF(Prisberegner!$E$52&gt;0,Prisberegner!$E$55,Prisberegner!$E$47))</f>
        <v>25061.911426856659</v>
      </c>
      <c r="D26" s="144">
        <f>Prisberegner!$E$106+IF(B26&gt;Prisberegner!$E$92,-Prisberegner!$E$93,0)+IF(AND(B26&gt;Prisberegner!$E$98,Prisberegner!$E$102&gt;0),-(Prisberegner!$E$99-Prisberegner!$E$103),0)+IF(AND(Prisberegner!$D$82="Ja",'Tabel resultat'!B26&gt;Prisberegner!$E$83),-Prisberegner!$E$82*12,0)-IF(AND(Prisberegner!$E$98=1,B26&gt;1),Prisberegner!$E$99,0)</f>
        <v>18565.46930684182</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5">
        <f t="shared" si="0"/>
        <v>6496.442120014839</v>
      </c>
      <c r="I26" s="164"/>
      <c r="J26" s="165"/>
    </row>
    <row r="27" spans="2:10" x14ac:dyDescent="0.25">
      <c r="B27" s="67">
        <v>21</v>
      </c>
      <c r="C27" s="68">
        <f>IF(B27&lt;Prisberegner!$E$50+1,Prisberegner!$E$47,IF(Prisberegner!$E$52&gt;0,Prisberegner!$E$55,Prisberegner!$E$47))</f>
        <v>25061.911426856659</v>
      </c>
      <c r="D27" s="144">
        <f>Prisberegner!$E$106+IF(B27&gt;Prisberegner!$E$92,-Prisberegner!$E$93,0)+IF(AND(B27&gt;Prisberegner!$E$98,Prisberegner!$E$102&gt;0),-(Prisberegner!$E$99-Prisberegner!$E$103),0)+IF(AND(Prisberegner!$D$82="Ja",'Tabel resultat'!B27&gt;Prisberegner!$E$83),-Prisberegner!$E$82*12,0)-IF(AND(Prisberegner!$E$98=1,B27&gt;1),Prisberegner!$E$99,0)</f>
        <v>18565.46930684182</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5">
        <f t="shared" si="0"/>
        <v>6496.442120014839</v>
      </c>
      <c r="I27" s="164" t="s">
        <v>280</v>
      </c>
      <c r="J27" s="165"/>
    </row>
    <row r="28" spans="2:10" x14ac:dyDescent="0.25">
      <c r="B28" s="67">
        <v>22</v>
      </c>
      <c r="C28" s="68">
        <f>IF(B28&lt;Prisberegner!$E$50+1,Prisberegner!$E$47,IF(Prisberegner!$E$52&gt;0,Prisberegner!$E$55,Prisberegner!$E$47))</f>
        <v>25061.911426856659</v>
      </c>
      <c r="D28" s="144">
        <f>Prisberegner!$E$106+IF(B28&gt;Prisberegner!$E$92,-Prisberegner!$E$93,0)+IF(AND(B28&gt;Prisberegner!$E$98,Prisberegner!$E$102&gt;0),-(Prisberegner!$E$99-Prisberegner!$E$103),0)+IF(AND(Prisberegner!$D$82="Ja",'Tabel resultat'!B28&gt;Prisberegner!$E$83),-Prisberegner!$E$82*12,0)-IF(AND(Prisberegner!$E$98=1,B28&gt;1),Prisberegner!$E$99,0)</f>
        <v>18565.46930684182</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5">
        <f t="shared" si="0"/>
        <v>6496.442120014839</v>
      </c>
      <c r="I28" s="168">
        <f>C7-D7</f>
        <v>4143.8923541247714</v>
      </c>
      <c r="J28" s="165" t="s">
        <v>279</v>
      </c>
    </row>
    <row r="29" spans="2:10" x14ac:dyDescent="0.25">
      <c r="B29" s="67">
        <v>23</v>
      </c>
      <c r="C29" s="68">
        <f>IF(B29&lt;Prisberegner!$E$50+1,Prisberegner!$E$47,IF(Prisberegner!$E$52&gt;0,Prisberegner!$E$55,Prisberegner!$E$47))</f>
        <v>25061.911426856659</v>
      </c>
      <c r="D29" s="144">
        <f>Prisberegner!$E$106+IF(B29&gt;Prisberegner!$E$92,-Prisberegner!$E$93,0)+IF(AND(B29&gt;Prisberegner!$E$98,Prisberegner!$E$102&gt;0),-(Prisberegner!$E$99-Prisberegner!$E$103),0)+IF(AND(Prisberegner!$D$82="Ja",'Tabel resultat'!B29&gt;Prisberegner!$E$83),-Prisberegner!$E$82*12,0)-IF(AND(Prisberegner!$E$98=1,B29&gt;1),Prisberegner!$E$99,0)</f>
        <v>18565.46930684182</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5">
        <f t="shared" si="0"/>
        <v>6496.442120014839</v>
      </c>
      <c r="I29" s="168" cm="1">
        <f t="array" aca="1" ref="I29" ca="1">INDIRECT(ADDRESS($J$11+7,3))-INDIRECT(ADDRESS($J$11+7,4))</f>
        <v>6496.442120014839</v>
      </c>
      <c r="J29" s="165" t="str">
        <f>"Efter investering i ny gaskedel om "&amp;Prisberegner!$E$50&amp;" år"</f>
        <v>Efter investering i ny gaskedel om 10 år</v>
      </c>
    </row>
    <row r="30" spans="2:10" x14ac:dyDescent="0.25">
      <c r="B30" s="67">
        <v>24</v>
      </c>
      <c r="C30" s="68">
        <f>IF(B30&lt;Prisberegner!$E$50+1,Prisberegner!$E$47,IF(Prisberegner!$E$52&gt;0,Prisberegner!$E$55,Prisberegner!$E$47))</f>
        <v>25061.911426856659</v>
      </c>
      <c r="D30" s="144">
        <f>Prisberegner!$E$106+IF(B30&gt;Prisberegner!$E$92,-Prisberegner!$E$93,0)+IF(AND(B30&gt;Prisberegner!$E$98,Prisberegner!$E$102&gt;0),-(Prisberegner!$E$99-Prisberegner!$E$103),0)+IF(AND(Prisberegner!$D$82="Ja",'Tabel resultat'!B30&gt;Prisberegner!$E$83),-Prisberegner!$E$82*12,0)-IF(AND(Prisberegner!$E$98=1,B30&gt;1),Prisberegner!$E$99,0)</f>
        <v>18565.46930684182</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5">
        <f t="shared" si="0"/>
        <v>6496.442120014839</v>
      </c>
      <c r="I30" s="168" t="str" cm="1">
        <f t="array" aca="1" ref="I30" ca="1">IF(Prisberegner!$D$82="Nej","",INDIRECT(ADDRESS($J$8+7,3))-INDIRECT(ADDRESS($J$8+7,4)))</f>
        <v/>
      </c>
      <c r="J30" s="165" t="str">
        <f>IF(Prisberegner!$D$82="Nej","","Efter udløb af tillæg om "&amp;Prisberegner!$E$83&amp;" år")</f>
        <v/>
      </c>
    </row>
    <row r="31" spans="2:10" x14ac:dyDescent="0.25">
      <c r="B31" s="67">
        <v>25</v>
      </c>
      <c r="C31" s="68">
        <f>IF(B31&lt;Prisberegner!$E$50+1,Prisberegner!$E$47,IF(Prisberegner!$E$52&gt;0,Prisberegner!$E$55,Prisberegner!$E$47))</f>
        <v>25061.911426856659</v>
      </c>
      <c r="D31" s="144">
        <f>Prisberegner!$E$106+IF(B31&gt;Prisberegner!$E$92,-Prisberegner!$E$93,0)+IF(AND(B31&gt;Prisberegner!$E$98,Prisberegner!$E$102&gt;0),-(Prisberegner!$E$99-Prisberegner!$E$103),0)+IF(AND(Prisberegner!$D$82="Ja",'Tabel resultat'!B31&gt;Prisberegner!$E$83),-Prisberegner!$E$82*12,0)-IF(AND(Prisberegner!$E$98=1,B31&gt;1),Prisberegner!$E$99,0)</f>
        <v>18565.46930684182</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5">
        <f t="shared" si="0"/>
        <v>6496.442120014839</v>
      </c>
      <c r="I31" s="168" cm="1">
        <f t="array" aca="1" ref="I31" ca="1">IF(Prisberegner!$E$92=0,"",INDIRECT(ADDRESS($J$9+7,3))-INDIRECT(ADDRESS($J$9+7,4)))</f>
        <v>7261.7310098186281</v>
      </c>
      <c r="J31" s="165"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25061.911426856659</v>
      </c>
      <c r="D32" s="144">
        <f>Prisberegner!$E$106+IF(B32&gt;Prisberegner!$E$92,-Prisberegner!$E$93,0)+IF(AND(B32&gt;Prisberegner!$E$98,Prisberegner!$E$102&gt;0),-(Prisberegner!$E$99-Prisberegner!$E$103),0)+IF(AND(Prisberegner!$D$82="Ja",'Tabel resultat'!B32&gt;Prisberegner!$E$83),-Prisberegner!$E$82*12,0)-IF(AND(Prisberegner!$E$98=1,B32&gt;1),Prisberegner!$E$99,0)</f>
        <v>18565.46930684182</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5">
        <f t="shared" si="0"/>
        <v>6496.442120014839</v>
      </c>
      <c r="I32" s="168" cm="1">
        <f t="array" aca="1" ref="I32" ca="1">IF(Prisberegner!$E$98=0,"",INDIRECT(ADDRESS($J$10+7,3))-INDIRECT(ADDRESS($J$10+7,4)))</f>
        <v>6496.442120014839</v>
      </c>
      <c r="J32" s="165"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25061.911426856659</v>
      </c>
      <c r="D33" s="144">
        <f>Prisberegner!$E$106+IF(B33&gt;Prisberegner!$E$92,-Prisberegner!$E$93,0)+IF(AND(B33&gt;Prisberegner!$E$98,Prisberegner!$E$102&gt;0),-(Prisberegner!$E$99-Prisberegner!$E$103),0)+IF(AND(Prisberegner!$D$82="Ja",'Tabel resultat'!B33&gt;Prisberegner!$E$83),-Prisberegner!$E$82*12,0)-IF(AND(Prisberegner!$E$98=1,B33&gt;1),Prisberegner!$E$99,0)</f>
        <v>18565.46930684182</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5">
        <f t="shared" si="0"/>
        <v>6496.442120014839</v>
      </c>
      <c r="I33" s="164"/>
      <c r="J33" s="165"/>
    </row>
    <row r="34" spans="2:10" x14ac:dyDescent="0.25">
      <c r="B34" s="67">
        <v>28</v>
      </c>
      <c r="C34" s="68">
        <f>IF(B34&lt;Prisberegner!$E$50+1,Prisberegner!$E$47,IF(Prisberegner!$E$52&gt;0,Prisberegner!$E$55,Prisberegner!$E$47))</f>
        <v>25061.911426856659</v>
      </c>
      <c r="D34" s="144">
        <f>Prisberegner!$E$106+IF(B34&gt;Prisberegner!$E$92,-Prisberegner!$E$93,0)+IF(AND(B34&gt;Prisberegner!$E$98,Prisberegner!$E$102&gt;0),-(Prisberegner!$E$99-Prisberegner!$E$103),0)+IF(AND(Prisberegner!$D$82="Ja",'Tabel resultat'!B34&gt;Prisberegner!$E$83),-Prisberegner!$E$82*12,0)-IF(AND(Prisberegner!$E$98=1,B34&gt;1),Prisberegner!$E$99,0)</f>
        <v>18565.46930684182</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5">
        <f t="shared" si="0"/>
        <v>6496.442120014839</v>
      </c>
      <c r="I34" s="169">
        <f>I28</f>
        <v>4143.8923541247714</v>
      </c>
      <c r="J34" s="170" t="str">
        <f>J28</f>
        <v>Ved tilslutning (år 1)</v>
      </c>
    </row>
    <row r="35" spans="2:10" x14ac:dyDescent="0.25">
      <c r="B35" s="67">
        <v>29</v>
      </c>
      <c r="C35" s="68">
        <f>IF(B35&lt;Prisberegner!$E$50+1,Prisberegner!$E$47,IF(Prisberegner!$E$52&gt;0,Prisberegner!$E$55,Prisberegner!$E$47))</f>
        <v>25061.911426856659</v>
      </c>
      <c r="D35" s="144">
        <f>Prisberegner!$E$106+IF(B35&gt;Prisberegner!$E$92,-Prisberegner!$E$93,0)+IF(AND(B35&gt;Prisberegner!$E$98,Prisberegner!$E$102&gt;0),-(Prisberegner!$E$99-Prisberegner!$E$103),0)+IF(AND(Prisberegner!$D$82="Ja",'Tabel resultat'!B35&gt;Prisberegner!$E$83),-Prisberegner!$E$82*12,0)-IF(AND(Prisberegner!$E$98=1,B35&gt;1),Prisberegner!$E$99,0)</f>
        <v>18565.46930684182</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5">
        <f t="shared" si="0"/>
        <v>6496.442120014839</v>
      </c>
      <c r="I35" s="169" cm="1">
        <f t="array" aca="1" ref="I35:J38" ca="1">_xlfn._xlws.SORT(I29:J32,1,1)</f>
        <v>6496.442120014839</v>
      </c>
      <c r="J35" s="170" t="str">
        <f ca="1"/>
        <v>Efter investering i ny gaskedel om 10 år</v>
      </c>
    </row>
    <row r="36" spans="2:10" x14ac:dyDescent="0.25">
      <c r="B36" s="67">
        <v>30</v>
      </c>
      <c r="C36" s="68">
        <f>IF(B36&lt;Prisberegner!$E$50+1,Prisberegner!$E$47,IF(Prisberegner!$E$52&gt;0,Prisberegner!$E$55,Prisberegner!$E$47))</f>
        <v>25061.911426856659</v>
      </c>
      <c r="D36" s="144">
        <f>Prisberegner!$E$106+IF(B36&gt;Prisberegner!$E$92,-Prisberegner!$E$93,0)+IF(AND(B36&gt;Prisberegner!$E$98,Prisberegner!$E$102&gt;0),-(Prisberegner!$E$99-Prisberegner!$E$103),0)+IF(AND(Prisberegner!$D$82="Ja",'Tabel resultat'!B36&gt;Prisberegner!$E$83),-Prisberegner!$E$82*12,0)-IF(AND(Prisberegner!$E$98=1,B36&gt;1),Prisberegner!$E$99,0)</f>
        <v>18565.46930684182</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5">
        <f t="shared" si="0"/>
        <v>6496.442120014839</v>
      </c>
      <c r="I36" s="169">
        <f ca="1"/>
        <v>6496.442120014839</v>
      </c>
      <c r="J36" s="170" t="str">
        <f ca="1"/>
        <v>Efter levetidsforlængelse eller ny unit om 25 år</v>
      </c>
    </row>
    <row r="37" spans="2:10" x14ac:dyDescent="0.25">
      <c r="B37" s="67">
        <v>31</v>
      </c>
      <c r="C37" s="68">
        <f>IF(B37&lt;Prisberegner!$E$50+1,Prisberegner!$E$47,IF(Prisberegner!$E$52&gt;0,Prisberegner!$E$55,Prisberegner!$E$47))</f>
        <v>25061.911426856659</v>
      </c>
      <c r="D37" s="144">
        <f>Prisberegner!$E$106+IF(B37&gt;Prisberegner!$E$92,-Prisberegner!$E$93,0)+IF(AND(B37&gt;Prisberegner!$E$98,Prisberegner!$E$102&gt;0),-(Prisberegner!$E$99-Prisberegner!$E$103),0)+IF(AND(Prisberegner!$D$82="Ja",'Tabel resultat'!B37&gt;Prisberegner!$E$83),-Prisberegner!$E$82*12,0)-IF(AND(Prisberegner!$E$98=1,B37&gt;1),Prisberegner!$E$99,0)</f>
        <v>17800.180417038031</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5">
        <f t="shared" si="0"/>
        <v>7261.7310098186281</v>
      </c>
      <c r="I37" s="169">
        <f ca="1"/>
        <v>7261.7310098186281</v>
      </c>
      <c r="J37" s="170" t="str">
        <f ca="1"/>
        <v>Efter afskrevne tilslutningsbidrag om 30 år</v>
      </c>
    </row>
    <row r="38" spans="2:10" x14ac:dyDescent="0.25">
      <c r="B38" s="67">
        <v>32</v>
      </c>
      <c r="C38" s="68">
        <f>IF(B38&lt;Prisberegner!$E$50+1,Prisberegner!$E$47,IF(Prisberegner!$E$52&gt;0,Prisberegner!$E$55,Prisberegner!$E$47))</f>
        <v>25061.911426856659</v>
      </c>
      <c r="D38" s="144">
        <f>Prisberegner!$E$106+IF(B38&gt;Prisberegner!$E$92,-Prisberegner!$E$93,0)+IF(AND(B38&gt;Prisberegner!$E$98,Prisberegner!$E$102&gt;0),-(Prisberegner!$E$99-Prisberegner!$E$103),0)+IF(AND(Prisberegner!$D$82="Ja",'Tabel resultat'!B38&gt;Prisberegner!$E$83),-Prisberegner!$E$82*12,0)-IF(AND(Prisberegner!$E$98=1,B38&gt;1),Prisberegner!$E$99,0)</f>
        <v>17800.180417038031</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5">
        <f t="shared" si="0"/>
        <v>7261.7310098186281</v>
      </c>
      <c r="I38" s="169" t="str">
        <f ca="1"/>
        <v/>
      </c>
      <c r="J38" s="171" t="str">
        <f ca="1"/>
        <v/>
      </c>
    </row>
    <row r="39" spans="2:10" x14ac:dyDescent="0.25">
      <c r="B39" s="67">
        <v>33</v>
      </c>
      <c r="C39" s="68">
        <f>IF(B39&lt;Prisberegner!$E$50+1,Prisberegner!$E$47,IF(Prisberegner!$E$52&gt;0,Prisberegner!$E$55,Prisberegner!$E$47))</f>
        <v>25061.911426856659</v>
      </c>
      <c r="D39" s="144">
        <f>Prisberegner!$E$106+IF(B39&gt;Prisberegner!$E$92,-Prisberegner!$E$93,0)+IF(AND(B39&gt;Prisberegner!$E$98,Prisberegner!$E$102&gt;0),-(Prisberegner!$E$99-Prisberegner!$E$103),0)+IF(AND(Prisberegner!$D$82="Ja",'Tabel resultat'!B39&gt;Prisberegner!$E$83),-Prisberegner!$E$82*12,0)-IF(AND(Prisberegner!$E$98=1,B39&gt;1),Prisberegner!$E$99,0)</f>
        <v>17800.180417038031</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5">
        <f t="shared" si="0"/>
        <v>7261.7310098186281</v>
      </c>
      <c r="I39" s="172"/>
      <c r="J39" s="173"/>
    </row>
    <row r="40" spans="2:10" x14ac:dyDescent="0.25">
      <c r="B40" s="67">
        <v>34</v>
      </c>
      <c r="C40" s="68">
        <f>IF(B40&lt;Prisberegner!$E$50+1,Prisberegner!$E$47,IF(Prisberegner!$E$52&gt;0,Prisberegner!$E$55,Prisberegner!$E$47))</f>
        <v>25061.911426856659</v>
      </c>
      <c r="D40" s="144">
        <f>Prisberegner!$E$106+IF(B40&gt;Prisberegner!$E$92,-Prisberegner!$E$93,0)+IF(AND(B40&gt;Prisberegner!$E$98,Prisberegner!$E$102&gt;0),-(Prisberegner!$E$99-Prisberegner!$E$103),0)+IF(AND(Prisberegner!$D$82="Ja",'Tabel resultat'!B40&gt;Prisberegner!$E$83),-Prisberegner!$E$82*12,0)-IF(AND(Prisberegner!$E$98=1,B40&gt;1),Prisberegner!$E$99,0)</f>
        <v>17800.180417038031</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5">
        <f t="shared" si="0"/>
        <v>7261.7310098186281</v>
      </c>
    </row>
    <row r="41" spans="2:10" x14ac:dyDescent="0.25">
      <c r="B41" s="67">
        <v>35</v>
      </c>
      <c r="C41" s="68">
        <f>IF(B41&lt;Prisberegner!$E$50+1,Prisberegner!$E$47,IF(Prisberegner!$E$52&gt;0,Prisberegner!$E$55,Prisberegner!$E$47))</f>
        <v>25061.911426856659</v>
      </c>
      <c r="D41" s="144">
        <f>Prisberegner!$E$106+IF(B41&gt;Prisberegner!$E$92,-Prisberegner!$E$93,0)+IF(AND(B41&gt;Prisberegner!$E$98,Prisberegner!$E$102&gt;0),-(Prisberegner!$E$99-Prisberegner!$E$103),0)+IF(AND(Prisberegner!$D$82="Ja",'Tabel resultat'!B41&gt;Prisberegner!$E$83),-Prisberegner!$E$82*12,0)-IF(AND(Prisberegner!$E$98=1,B41&gt;1),Prisberegner!$E$99,0)</f>
        <v>17800.180417038031</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5">
        <f t="shared" si="0"/>
        <v>7261.7310098186281</v>
      </c>
    </row>
    <row r="42" spans="2:10" x14ac:dyDescent="0.25">
      <c r="B42" s="67">
        <v>36</v>
      </c>
      <c r="C42" s="68">
        <f>IF(B42&lt;Prisberegner!$E$50+1,Prisberegner!$E$47,IF(Prisberegner!$E$52&gt;0,Prisberegner!$E$55,Prisberegner!$E$47))</f>
        <v>25061.911426856659</v>
      </c>
      <c r="D42" s="144">
        <f>Prisberegner!$E$106+IF(B42&gt;Prisberegner!$E$92,-Prisberegner!$E$93,0)+IF(AND(B42&gt;Prisberegner!$E$98,Prisberegner!$E$102&gt;0),-(Prisberegner!$E$99-Prisberegner!$E$103),0)+IF(AND(Prisberegner!$D$82="Ja",'Tabel resultat'!B42&gt;Prisberegner!$E$83),-Prisberegner!$E$82*12,0)-IF(AND(Prisberegner!$E$98=1,B42&gt;1),Prisberegner!$E$99,0)</f>
        <v>17800.180417038031</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5">
        <f t="shared" si="0"/>
        <v>7261.7310098186281</v>
      </c>
    </row>
    <row r="43" spans="2:10" x14ac:dyDescent="0.25">
      <c r="B43" s="67">
        <v>37</v>
      </c>
      <c r="C43" s="68">
        <f>IF(B43&lt;Prisberegner!$E$50+1,Prisberegner!$E$47,IF(Prisberegner!$E$52&gt;0,Prisberegner!$E$55,Prisberegner!$E$47))</f>
        <v>25061.911426856659</v>
      </c>
      <c r="D43" s="144">
        <f>Prisberegner!$E$106+IF(B43&gt;Prisberegner!$E$92,-Prisberegner!$E$93,0)+IF(AND(B43&gt;Prisberegner!$E$98,Prisberegner!$E$102&gt;0),-(Prisberegner!$E$99-Prisberegner!$E$103),0)+IF(AND(Prisberegner!$D$82="Ja",'Tabel resultat'!B43&gt;Prisberegner!$E$83),-Prisberegner!$E$82*12,0)-IF(AND(Prisberegner!$E$98=1,B43&gt;1),Prisberegner!$E$99,0)</f>
        <v>17800.180417038031</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5">
        <f t="shared" si="0"/>
        <v>7261.7310098186281</v>
      </c>
    </row>
    <row r="44" spans="2:10" x14ac:dyDescent="0.25">
      <c r="B44" s="67">
        <v>38</v>
      </c>
      <c r="C44" s="68">
        <f>IF(B44&lt;Prisberegner!$E$50+1,Prisberegner!$E$47,IF(Prisberegner!$E$52&gt;0,Prisberegner!$E$55,Prisberegner!$E$47))</f>
        <v>25061.911426856659</v>
      </c>
      <c r="D44" s="144">
        <f>Prisberegner!$E$106+IF(B44&gt;Prisberegner!$E$92,-Prisberegner!$E$93,0)+IF(AND(B44&gt;Prisberegner!$E$98,Prisberegner!$E$102&gt;0),-(Prisberegner!$E$99-Prisberegner!$E$103),0)+IF(AND(Prisberegner!$D$82="Ja",'Tabel resultat'!B44&gt;Prisberegner!$E$83),-Prisberegner!$E$82*12,0)-IF(AND(Prisberegner!$E$98=1,B44&gt;1),Prisberegner!$E$99,0)</f>
        <v>17800.180417038031</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5">
        <f t="shared" si="0"/>
        <v>7261.7310098186281</v>
      </c>
    </row>
    <row r="45" spans="2:10" x14ac:dyDescent="0.25">
      <c r="B45" s="67">
        <v>39</v>
      </c>
      <c r="C45" s="68">
        <f>IF(B45&lt;Prisberegner!$E$50+1,Prisberegner!$E$47,IF(Prisberegner!$E$52&gt;0,Prisberegner!$E$55,Prisberegner!$E$47))</f>
        <v>25061.911426856659</v>
      </c>
      <c r="D45" s="144">
        <f>Prisberegner!$E$106+IF(B45&gt;Prisberegner!$E$92,-Prisberegner!$E$93,0)+IF(AND(B45&gt;Prisberegner!$E$98,Prisberegner!$E$102&gt;0),-(Prisberegner!$E$99-Prisberegner!$E$103),0)+IF(AND(Prisberegner!$D$82="Ja",'Tabel resultat'!B45&gt;Prisberegner!$E$83),-Prisberegner!$E$82*12,0)-IF(AND(Prisberegner!$E$98=1,B45&gt;1),Prisberegner!$E$99,0)</f>
        <v>17800.180417038031</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5">
        <f t="shared" si="0"/>
        <v>7261.7310098186281</v>
      </c>
    </row>
    <row r="46" spans="2:10" x14ac:dyDescent="0.25">
      <c r="B46" s="67">
        <v>40</v>
      </c>
      <c r="C46" s="68">
        <f>IF(B46&lt;Prisberegner!$E$50+1,Prisberegner!$E$47,IF(Prisberegner!$E$52&gt;0,Prisberegner!$E$55,Prisberegner!$E$47))</f>
        <v>25061.911426856659</v>
      </c>
      <c r="D46" s="144">
        <f>Prisberegner!$E$106+IF(B46&gt;Prisberegner!$E$92,-Prisberegner!$E$93,0)+IF(AND(B46&gt;Prisberegner!$E$98,Prisberegner!$E$102&gt;0),-(Prisberegner!$E$99-Prisberegner!$E$103),0)+IF(AND(Prisberegner!$D$82="Ja",'Tabel resultat'!B46&gt;Prisberegner!$E$83),-Prisberegner!$E$82*12,0)-IF(AND(Prisberegner!$E$98=1,B46&gt;1),Prisberegner!$E$99,0)</f>
        <v>17800.180417038031</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5">
        <f t="shared" si="0"/>
        <v>7261.7310098186281</v>
      </c>
    </row>
    <row r="47" spans="2:10" x14ac:dyDescent="0.25">
      <c r="B47" s="67">
        <v>41</v>
      </c>
      <c r="C47" s="68">
        <f>IF(B47&lt;Prisberegner!$E$50+1,Prisberegner!$E$47,IF(Prisberegner!$E$52&gt;0,Prisberegner!$E$55,Prisberegner!$E$47))</f>
        <v>25061.911426856659</v>
      </c>
      <c r="D47" s="144">
        <f>Prisberegner!$E$106+IF(B47&gt;Prisberegner!$E$92,-Prisberegner!$E$93,0)+IF(AND(B47&gt;Prisberegner!$E$98,Prisberegner!$E$102&gt;0),-(Prisberegner!$E$99-Prisberegner!$E$103),0)+IF(AND(Prisberegner!$D$82="Ja",'Tabel resultat'!B47&gt;Prisberegner!$E$83),-Prisberegner!$E$82*12,0)-IF(AND(Prisberegner!$E$98=1,B47&gt;1),Prisberegner!$E$99,0)</f>
        <v>17800.180417038031</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5">
        <f t="shared" si="0"/>
        <v>7261.7310098186281</v>
      </c>
    </row>
    <row r="48" spans="2:10" x14ac:dyDescent="0.25">
      <c r="B48" s="67">
        <v>42</v>
      </c>
      <c r="C48" s="68">
        <f>IF(B48&lt;Prisberegner!$E$50+1,Prisberegner!$E$47,IF(Prisberegner!$E$52&gt;0,Prisberegner!$E$55,Prisberegner!$E$47))</f>
        <v>25061.911426856659</v>
      </c>
      <c r="D48" s="144">
        <f>Prisberegner!$E$106+IF(B48&gt;Prisberegner!$E$92,-Prisberegner!$E$93,0)+IF(AND(B48&gt;Prisberegner!$E$98,Prisberegner!$E$102&gt;0),-(Prisberegner!$E$99-Prisberegner!$E$103),0)+IF(AND(Prisberegner!$D$82="Ja",'Tabel resultat'!B48&gt;Prisberegner!$E$83),-Prisberegner!$E$82*12,0)-IF(AND(Prisberegner!$E$98=1,B48&gt;1),Prisberegner!$E$99,0)</f>
        <v>17800.180417038031</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5">
        <f t="shared" si="0"/>
        <v>7261.7310098186281</v>
      </c>
    </row>
    <row r="49" spans="2:7" x14ac:dyDescent="0.25">
      <c r="B49" s="67">
        <v>43</v>
      </c>
      <c r="C49" s="68">
        <f>IF(B49&lt;Prisberegner!$E$50+1,Prisberegner!$E$47,IF(Prisberegner!$E$52&gt;0,Prisberegner!$E$55,Prisberegner!$E$47))</f>
        <v>25061.911426856659</v>
      </c>
      <c r="D49" s="144">
        <f>Prisberegner!$E$106+IF(B49&gt;Prisberegner!$E$92,-Prisberegner!$E$93,0)+IF(AND(B49&gt;Prisberegner!$E$98,Prisberegner!$E$102&gt;0),-(Prisberegner!$E$99-Prisberegner!$E$103),0)+IF(AND(Prisberegner!$D$82="Ja",'Tabel resultat'!B49&gt;Prisberegner!$E$83),-Prisberegner!$E$82*12,0)-IF(AND(Prisberegner!$E$98=1,B49&gt;1),Prisberegner!$E$99,0)</f>
        <v>17800.180417038031</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5">
        <f t="shared" si="0"/>
        <v>7261.7310098186281</v>
      </c>
    </row>
    <row r="50" spans="2:7" x14ac:dyDescent="0.25">
      <c r="B50" s="67">
        <v>44</v>
      </c>
      <c r="C50" s="68">
        <f>IF(B50&lt;Prisberegner!$E$50+1,Prisberegner!$E$47,IF(Prisberegner!$E$52&gt;0,Prisberegner!$E$55,Prisberegner!$E$47))</f>
        <v>25061.911426856659</v>
      </c>
      <c r="D50" s="144">
        <f>Prisberegner!$E$106+IF(B50&gt;Prisberegner!$E$92,-Prisberegner!$E$93,0)+IF(AND(B50&gt;Prisberegner!$E$98,Prisberegner!$E$102&gt;0),-(Prisberegner!$E$99-Prisberegner!$E$103),0)+IF(AND(Prisberegner!$D$82="Ja",'Tabel resultat'!B50&gt;Prisberegner!$E$83),-Prisberegner!$E$82*12,0)-IF(AND(Prisberegner!$E$98=1,B50&gt;1),Prisberegner!$E$99,0)</f>
        <v>17800.180417038031</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5">
        <f t="shared" si="0"/>
        <v>7261.7310098186281</v>
      </c>
    </row>
    <row r="51" spans="2:7" x14ac:dyDescent="0.25">
      <c r="B51" s="67">
        <v>45</v>
      </c>
      <c r="C51" s="68">
        <f>IF(B51&lt;Prisberegner!$E$50+1,Prisberegner!$E$47,IF(Prisberegner!$E$52&gt;0,Prisberegner!$E$55,Prisberegner!$E$47))</f>
        <v>25061.911426856659</v>
      </c>
      <c r="D51" s="144">
        <f>Prisberegner!$E$106+IF(B51&gt;Prisberegner!$E$92,-Prisberegner!$E$93,0)+IF(AND(B51&gt;Prisberegner!$E$98,Prisberegner!$E$102&gt;0),-(Prisberegner!$E$99-Prisberegner!$E$103),0)+IF(AND(Prisberegner!$D$82="Ja",'Tabel resultat'!B51&gt;Prisberegner!$E$83),-Prisberegner!$E$82*12,0)-IF(AND(Prisberegner!$E$98=1,B51&gt;1),Prisberegner!$E$99,0)</f>
        <v>17800.180417038031</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5">
        <f t="shared" si="0"/>
        <v>7261.7310098186281</v>
      </c>
    </row>
    <row r="52" spans="2:7" x14ac:dyDescent="0.25">
      <c r="B52" s="67">
        <v>46</v>
      </c>
      <c r="C52" s="68">
        <f>IF(B52&lt;Prisberegner!$E$50+1,Prisberegner!$E$47,IF(Prisberegner!$E$52&gt;0,Prisberegner!$E$55,Prisberegner!$E$47))</f>
        <v>25061.911426856659</v>
      </c>
      <c r="D52" s="144">
        <f>Prisberegner!$E$106+IF(B52&gt;Prisberegner!$E$92,-Prisberegner!$E$93,0)+IF(AND(B52&gt;Prisberegner!$E$98,Prisberegner!$E$102&gt;0),-(Prisberegner!$E$99-Prisberegner!$E$103),0)+IF(AND(Prisberegner!$D$82="Ja",'Tabel resultat'!B52&gt;Prisberegner!$E$83),-Prisberegner!$E$82*12,0)-IF(AND(Prisberegner!$E$98=1,B52&gt;1),Prisberegner!$E$99,0)</f>
        <v>17800.180417038031</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5">
        <f t="shared" si="0"/>
        <v>7261.7310098186281</v>
      </c>
    </row>
    <row r="53" spans="2:7" x14ac:dyDescent="0.25">
      <c r="B53" s="67">
        <v>47</v>
      </c>
      <c r="C53" s="68">
        <f>IF(B53&lt;Prisberegner!$E$50+1,Prisberegner!$E$47,IF(Prisberegner!$E$52&gt;0,Prisberegner!$E$55,Prisberegner!$E$47))</f>
        <v>25061.911426856659</v>
      </c>
      <c r="D53" s="144">
        <f>Prisberegner!$E$106+IF(B53&gt;Prisberegner!$E$92,-Prisberegner!$E$93,0)+IF(AND(B53&gt;Prisberegner!$E$98,Prisberegner!$E$102&gt;0),-(Prisberegner!$E$99-Prisberegner!$E$103),0)+IF(AND(Prisberegner!$D$82="Ja",'Tabel resultat'!B53&gt;Prisberegner!$E$83),-Prisberegner!$E$82*12,0)-IF(AND(Prisberegner!$E$98=1,B53&gt;1),Prisberegner!$E$99,0)</f>
        <v>17800.180417038031</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5">
        <f t="shared" si="0"/>
        <v>7261.7310098186281</v>
      </c>
    </row>
    <row r="54" spans="2:7" x14ac:dyDescent="0.25">
      <c r="B54" s="67">
        <v>48</v>
      </c>
      <c r="C54" s="68">
        <f>IF(B54&lt;Prisberegner!$E$50+1,Prisberegner!$E$47,IF(Prisberegner!$E$52&gt;0,Prisberegner!$E$55,Prisberegner!$E$47))</f>
        <v>25061.911426856659</v>
      </c>
      <c r="D54" s="144">
        <f>Prisberegner!$E$106+IF(B54&gt;Prisberegner!$E$92,-Prisberegner!$E$93,0)+IF(AND(B54&gt;Prisberegner!$E$98,Prisberegner!$E$102&gt;0),-(Prisberegner!$E$99-Prisberegner!$E$103),0)+IF(AND(Prisberegner!$D$82="Ja",'Tabel resultat'!B54&gt;Prisberegner!$E$83),-Prisberegner!$E$82*12,0)-IF(AND(Prisberegner!$E$98=1,B54&gt;1),Prisberegner!$E$99,0)</f>
        <v>17800.180417038031</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5">
        <f t="shared" si="0"/>
        <v>7261.7310098186281</v>
      </c>
    </row>
    <row r="55" spans="2:7" x14ac:dyDescent="0.25">
      <c r="B55" s="67">
        <v>49</v>
      </c>
      <c r="C55" s="68">
        <f>IF(B55&lt;Prisberegner!$E$50+1,Prisberegner!$E$47,IF(Prisberegner!$E$52&gt;0,Prisberegner!$E$55,Prisberegner!$E$47))</f>
        <v>25061.911426856659</v>
      </c>
      <c r="D55" s="144">
        <f>Prisberegner!$E$106+IF(B55&gt;Prisberegner!$E$92,-Prisberegner!$E$93,0)+IF(AND(B55&gt;Prisberegner!$E$98,Prisberegner!$E$102&gt;0),-(Prisberegner!$E$99-Prisberegner!$E$103),0)+IF(AND(Prisberegner!$D$82="Ja",'Tabel resultat'!B55&gt;Prisberegner!$E$83),-Prisberegner!$E$82*12,0)-IF(AND(Prisberegner!$E$98=1,B55&gt;1),Prisberegner!$E$99,0)</f>
        <v>17800.180417038031</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5">
        <f t="shared" si="0"/>
        <v>7261.7310098186281</v>
      </c>
    </row>
    <row r="56" spans="2:7" x14ac:dyDescent="0.25">
      <c r="B56" s="67">
        <v>50</v>
      </c>
      <c r="C56" s="68">
        <f>IF(B56&lt;Prisberegner!$E$50+1,Prisberegner!$E$47,IF(Prisberegner!$E$52&gt;0,Prisberegner!$E$55,Prisberegner!$E$47))</f>
        <v>25061.911426856659</v>
      </c>
      <c r="D56" s="144">
        <f>Prisberegner!$E$106+IF(B56&gt;Prisberegner!$E$92,-Prisberegner!$E$93,0)+IF(AND(B56&gt;Prisberegner!$E$98,Prisberegner!$E$102&gt;0),-(Prisberegner!$E$99-Prisberegner!$E$103),0)+IF(AND(Prisberegner!$D$82="Ja",'Tabel resultat'!B56&gt;Prisberegner!$E$83),-Prisberegner!$E$82*12,0)-IF(AND(Prisberegner!$E$98=1,B56&gt;1),Prisberegner!$E$99,0)</f>
        <v>17800.180417038031</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5">
        <f t="shared" si="0"/>
        <v>7261.7310098186281</v>
      </c>
    </row>
    <row r="57" spans="2:7" x14ac:dyDescent="0.25">
      <c r="E57" s="67"/>
      <c r="F57" s="67"/>
    </row>
    <row r="58" spans="2:7" x14ac:dyDescent="0.25">
      <c r="B58" s="61" t="s">
        <v>48</v>
      </c>
      <c r="C58" s="74">
        <f>SUM(C7:C56)</f>
        <v>1229570.073683932</v>
      </c>
      <c r="D58" s="74">
        <f>SUM(D7:D56)</f>
        <v>912967.68754601548</v>
      </c>
      <c r="E58" s="74" t="e">
        <f t="shared" ref="E58:F58" si="1">SUM(E7:E56)</f>
        <v>#N/A</v>
      </c>
      <c r="F58" s="74" t="e">
        <f t="shared" si="1"/>
        <v>#N/A</v>
      </c>
    </row>
    <row r="60" spans="2:7" x14ac:dyDescent="0.25">
      <c r="C60" s="72" t="s">
        <v>56</v>
      </c>
      <c r="D60" s="72" t="s">
        <v>56</v>
      </c>
      <c r="E60" s="72" t="s">
        <v>56</v>
      </c>
      <c r="F60" s="72" t="s">
        <v>56</v>
      </c>
    </row>
    <row r="61" spans="2:7" x14ac:dyDescent="0.25">
      <c r="C61" s="68">
        <f>C58/(50*12)</f>
        <v>2049.2834561398868</v>
      </c>
      <c r="D61" s="68">
        <f>D58/(50*12)</f>
        <v>1521.6128125766925</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XX37J4UVZJS6-1980040952-56625</_dlc_DocId>
    <_dlc_DocIdUrl xmlns="d50b2c44-e625-4464-b23c-0f6e1ef7d695">
      <Url>https://vejenvarme.sharepoint.com/sites/VejenVarmevaerk-Leverandoere/_layouts/15/DocIdRedir.aspx?ID=XX37J4UVZJS6-1980040952-56625</Url>
      <Description>XX37J4UVZJS6-1980040952-56625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8" ma:contentTypeDescription="Opret et nyt dokument." ma:contentTypeScope="" ma:versionID="61f264d9f808b01a7e6b42ecb460afc5">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a967aff8692edd119f8bba274089ab16"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customXml/itemProps2.xml><?xml version="1.0" encoding="utf-8"?>
<ds:datastoreItem xmlns:ds="http://schemas.openxmlformats.org/officeDocument/2006/customXml" ds:itemID="{3B10C1FA-0F3A-4498-85A9-26ED8F4B49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6CEB2ED-9887-4A61-82A0-3DF189D80FAA}">
  <ds:schemaRefs>
    <ds:schemaRef ds:uri="http://schemas.microsoft.com/sharepoint/events"/>
  </ds:schemaRefs>
</ds:datastoreItem>
</file>

<file path=customXml/itemProps4.xml><?xml version="1.0" encoding="utf-8"?>
<ds:datastoreItem xmlns:ds="http://schemas.openxmlformats.org/officeDocument/2006/customXml" ds:itemID="{FFC16D78-8716-4C72-B668-608001D07B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2021-04-14T09:38:36Z</cp:lastPrinted>
  <dcterms:created xsi:type="dcterms:W3CDTF">2014-02-23T12:10:08Z</dcterms:created>
  <dcterms:modified xsi:type="dcterms:W3CDTF">2024-02-29T00:09:23Z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5265cb29-2e24-4edb-8674-27b5b0624053</vt:lpwstr>
  </property>
  <property fmtid="{D5CDD505-2E9C-101B-9397-08002B2CF9AE}" pid="14" name="MediaServiceImageTags">
    <vt:lpwstr/>
  </property>
</Properties>
</file>