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rsn\Vejen Varmeværk\Vejen Varmevaerk - Leverandoere - Dokumenter\Anlægsprojekter - Henning Have\3 - Gaskonvertering\Sandmarken\Kundeproces\1 Informationsmøde - RSN\"/>
    </mc:Choice>
  </mc:AlternateContent>
  <xr:revisionPtr revIDLastSave="0" documentId="13_ncr:1_{95BD55E8-6E5A-4651-BC9B-2AEF6C0AD1B9}" xr6:coauthVersionLast="47" xr6:coauthVersionMax="47" xr10:uidLastSave="{00000000-0000-0000-0000-000000000000}"/>
  <bookViews>
    <workbookView xWindow="-98" yWindow="-98" windowWidth="22695" windowHeight="14595" xr2:uid="{00000000-000D-0000-FFFF-FFFF00000000}"/>
  </bookViews>
  <sheets>
    <sheet name="Resultater" sheetId="13" r:id="rId1"/>
    <sheet name="Prisberegner" sheetId="2" r:id="rId2"/>
    <sheet name="Oplysninger" sheetId="11"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E153" i="2" l="1"/>
  <c r="E148" i="2"/>
  <c r="E53" i="2" l="1"/>
  <c r="E26" i="2" l="1"/>
  <c r="E31" i="2" s="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6" i="14" a="1"/>
  <c r="I17" i="14" a="1"/>
  <c r="I18" i="14" a="1"/>
  <c r="I16" i="14" l="1"/>
  <c r="F26" i="14"/>
  <c r="F34" i="14"/>
  <c r="F42" i="14"/>
  <c r="F50" i="14"/>
  <c r="F35" i="14"/>
  <c r="F43" i="14"/>
  <c r="F51" i="14"/>
  <c r="F28" i="14"/>
  <c r="F36" i="14"/>
  <c r="F52" i="14"/>
  <c r="F47" i="14"/>
  <c r="F27" i="14"/>
  <c r="F44" i="14"/>
  <c r="F29" i="14"/>
  <c r="F37" i="14"/>
  <c r="F45" i="14"/>
  <c r="F53" i="14"/>
  <c r="F22" i="14"/>
  <c r="F30" i="14"/>
  <c r="F38" i="14"/>
  <c r="F46" i="14"/>
  <c r="F54" i="14"/>
  <c r="F23" i="14"/>
  <c r="F31" i="14"/>
  <c r="F39" i="14"/>
  <c r="F24" i="14"/>
  <c r="F32" i="14"/>
  <c r="F40" i="14"/>
  <c r="F48" i="14"/>
  <c r="F56" i="14"/>
  <c r="F25" i="14"/>
  <c r="F33" i="14"/>
  <c r="F41" i="14"/>
  <c r="F49" i="14"/>
  <c r="F55" i="14"/>
  <c r="I18" i="14"/>
  <c r="I17" i="14"/>
  <c r="E119" i="2"/>
  <c r="E120" i="2"/>
  <c r="H57" i="13" s="1"/>
  <c r="E121" i="2"/>
  <c r="E176" i="2"/>
  <c r="C10" i="14"/>
  <c r="C8" i="14"/>
  <c r="E55" i="2"/>
  <c r="C11" i="14" s="1"/>
  <c r="C7" i="14"/>
  <c r="C9" i="14"/>
  <c r="E149" i="2"/>
  <c r="E154" i="2"/>
  <c r="F10" i="14" l="1"/>
  <c r="F18" i="14"/>
  <c r="F11" i="14"/>
  <c r="F19" i="14"/>
  <c r="F12" i="14"/>
  <c r="F20" i="14"/>
  <c r="F13" i="14"/>
  <c r="F21" i="14"/>
  <c r="F14" i="14"/>
  <c r="F7" i="14"/>
  <c r="F15" i="14"/>
  <c r="F8" i="14"/>
  <c r="F16" i="14"/>
  <c r="F9"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0" i="14" a="1"/>
  <c r="I31" i="14" a="1"/>
  <c r="I32" i="14" a="1"/>
  <c r="I30" i="14" l="1"/>
  <c r="F58" i="14"/>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<sst xmlns="http://schemas.openxmlformats.org/spreadsheetml/2006/main" count="431" uniqueCount="301">
  <si>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</si>
  <si>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</si>
  <si>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</si>
  <si>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</si>
  <si>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</si>
  <si>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</si>
  <si>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</si>
  <si>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</si>
  <si>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</si>
  <si>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</si>
  <si>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</si>
  <si>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</si>
  <si>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</si>
  <si>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</si>
  <si>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</si>
  <si>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</si>
  <si>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</si>
  <si>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</si>
  <si>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</si>
  <si>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</si>
  <si>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</si>
  <si>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</si>
  <si>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</si>
  <si>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</si>
  <si>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</si>
  <si>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</si>
  <si>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</si>
  <si>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</si>
  <si>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</si>
  <si>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</si>
  <si>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</si>
  <si>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</si>
  <si>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</si>
  <si>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</si>
  <si>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</si>
  <si>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</si>
  <si>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</si>
  <si>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</si>
  <si>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</si>
  <si>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</si>
  <si>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</si>
  <si>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</si>
  <si>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</si>
  <si>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</si>
  <si>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</si>
  <si>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</si>
  <si>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</si>
  <si>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</si>
  <si>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</si>
  <si>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</si>
  <si>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</si>
  <si>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</si>
  <si>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</si>
  <si>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</si>
  <si>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</si>
  <si>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</si>
  <si>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</si>
  <si>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</si>
  <si>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</si>
  <si>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</si>
  <si>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</si>
  <si>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</si>
  <si>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</si>
  <si>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</si>
  <si>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</si>
  <si>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2021 og frem</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</si>
  <si>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</si>
  <si>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</si>
  <si>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</si>
  <si>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</si>
  <si>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</si>
  <si>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</si>
  <si>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</si>
  <si>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</si>
  <si>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</si>
  <si>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</si>
  <si>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</si>
  <si>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</si>
  <si>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</si>
  <si>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</si>
  <si>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</si>
  <si>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</si>
  <si>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</si>
  <si>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</si>
  <si>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</si>
  <si>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</si>
  <si>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</si>
  <si>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</si>
  <si>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</si>
  <si>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</si>
  <si>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</si>
  <si>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</si>
  <si>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</si>
  <si>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</si>
  <si>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</si>
  <si>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</si>
  <si>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</si>
  <si>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</si>
  <si>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</si>
  <si>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Denne skal derfor reduceres fra 90 øre/kWh til ovennævnte, ved forbrug over 4000 kWh.</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</si>
  <si>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</si>
  <si>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</si>
  <si>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</si>
  <si>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</si>
  <si>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</si>
  <si>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</si>
  <si>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</si>
  <si>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</si>
  <si>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</si>
  <si>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</si>
  <si>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</si>
  <si>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</si>
  <si>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</si>
  <si>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</si>
  <si>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</si>
  <si>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</si>
  <si>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</si>
  <si>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</si>
  <si>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</si>
  <si>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</si>
  <si>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</si>
  <si>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</si>
  <si>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</si>
  <si>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</si>
  <si>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</si>
  <si>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</si>
  <si>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</si>
  <si>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</si>
  <si>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</si>
  <si>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</si>
  <si>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</si>
  <si>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</si>
  <si>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</si>
  <si>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</si>
  <si>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</si>
  <si>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</si>
  <si>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</si>
  <si>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</si>
  <si>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</si>
  <si>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</si>
  <si>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</si>
  <si>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</si>
  <si>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</si>
  <si>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</si>
  <si>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</si>
  <si>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</si>
  <si>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</si>
  <si>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</si>
  <si>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</si>
  <si>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</si>
  <si>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</si>
  <si>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</si>
  <si>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</si>
  <si>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</si>
  <si>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</si>
  <si>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</si>
  <si>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</si>
  <si>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</si>
  <si>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</si>
  <si>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</si>
  <si>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</si>
  <si>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</si>
  <si>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</si>
  <si>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</si>
  <si>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</si>
  <si>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</si>
  <si>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</si>
  <si>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</si>
  <si>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</si>
  <si>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</si>
  <si>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</si>
  <si>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</si>
  <si>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</si>
  <si>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</si>
  <si>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</si>
  <si>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</si>
  <si>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</si>
  <si>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</si>
  <si>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</si>
  <si>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</si>
  <si>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</si>
  <si>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</si>
  <si>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</si>
  <si>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</si>
  <si>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</si>
  <si>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</si>
  <si>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</si>
  <si>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</si>
  <si>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</si>
  <si>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</si>
  <si>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</si>
  <si>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</si>
  <si>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</si>
  <si>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</si>
  <si>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</si>
  <si>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</si>
  <si>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</si>
  <si>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</si>
  <si>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</si>
  <si>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</si>
  <si>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</si>
  <si>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</si>
  <si>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</si>
  <si>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</si>
  <si>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</si>
  <si>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</si>
  <si>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</si>
  <si>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</si>
  <si>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</si>
  <si>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t>Fradraget for håndværksydelser hæves i 2021 til 25.000 kr. pr. person over 18 år i husstanden.</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</si>
  <si>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</si>
  <si>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</si>
  <si>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</si>
  <si>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</si>
  <si>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</si>
  <si>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</si>
  <si>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</si>
  <si>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</si>
  <si>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</si>
  <si>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</si>
  <si>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</si>
  <si>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</si>
  <si>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</si>
  <si>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</si>
  <si>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</si>
  <si>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</si>
  <si>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</si>
  <si>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</si>
  <si>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</si>
  <si>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</si>
  <si>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</si>
  <si>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</si>
  <si>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</si>
  <si>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</si>
  <si>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</si>
  <si>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</si>
  <si>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</si>
  <si>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</si>
  <si>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</si>
  <si>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</si>
  <si>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</si>
  <si>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</si>
  <si>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</si>
  <si>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</si>
  <si>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</si>
  <si>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</si>
  <si>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</si>
  <si>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</si>
  <si>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</si>
  <si>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</si>
  <si>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</si>
  <si>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</si>
  <si>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</si>
  <si>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</si>
  <si>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</si>
  <si>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</si>
  <si>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</si>
  <si>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</si>
  <si>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</si>
  <si>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</si>
  <si>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</si>
  <si>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</si>
  <si>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</si>
  <si>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</si>
  <si>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</si>
  <si>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</si>
  <si>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</si>
  <si>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</si>
  <si>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</si>
  <si>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</si>
  <si>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</si>
  <si>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</si>
  <si>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</si>
  <si>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</si>
  <si>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</si>
  <si>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</si>
  <si>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</si>
  <si>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</si>
  <si>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</si>
  <si>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</si>
  <si>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</si>
  <si>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</si>
  <si>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</si>
  <si>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</si>
  <si>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</si>
  <si>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</si>
  <si>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</si>
  <si>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</si>
  <si>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</si>
  <si>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</si>
  <si>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</si>
  <si>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</si>
  <si>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</si>
  <si>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</si>
  <si>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</si>
  <si>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</si>
  <si>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</si>
  <si>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</si>
  <si>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 xml:space="preserve">For spørgsmål eller input til beregneren kontakt Uffe Hjortshøj, ush@danskfjernvarme.dk. </t>
  </si>
  <si>
    <t>Herunder findes nogle standardforudsætninger, som kan anvendes i prisberegneren (senest opdateret 04-10-2021)</t>
  </si>
  <si>
    <t>Vejen Varmeværk 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</si>
</sst>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0" fillId="3" borderId="0" xfId="0" applyFont="1" applyFill="1"/>
    <xf numFmtId="0" fontId="17" fillId="3" borderId="0" xfId="0" applyFont="1" applyFill="1"/>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5"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8" fillId="3" borderId="0" xfId="2" applyFont="1" applyFill="1" applyAlignment="1">
      <alignmen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wrapText="1"/>
    </xf>
    <xf numFmtId="0" fontId="4" fillId="3" borderId="0" xfId="0" applyFont="1" applyFill="1" applyAlignment="1">
      <alignment horizontal="left" vertical="top"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14739.984508133231</c:v>
                </c:pt>
                <c:pt idx="1">
                  <c:v>14739.984508133231</c:v>
                </c:pt>
                <c:pt idx="2">
                  <c:v>14739.984508133231</c:v>
                </c:pt>
                <c:pt idx="3">
                  <c:v>14739.984508133231</c:v>
                </c:pt>
                <c:pt idx="4">
                  <c:v>14739.984508133231</c:v>
                </c:pt>
                <c:pt idx="5">
                  <c:v>17092.534274023299</c:v>
                </c:pt>
                <c:pt idx="6">
                  <c:v>17092.534274023299</c:v>
                </c:pt>
                <c:pt idx="7">
                  <c:v>17092.534274023299</c:v>
                </c:pt>
                <c:pt idx="8">
                  <c:v>17092.534274023299</c:v>
                </c:pt>
                <c:pt idx="9">
                  <c:v>17092.534274023299</c:v>
                </c:pt>
                <c:pt idx="10">
                  <c:v>17092.534274023299</c:v>
                </c:pt>
                <c:pt idx="11">
                  <c:v>17092.534274023299</c:v>
                </c:pt>
                <c:pt idx="12">
                  <c:v>17092.534274023299</c:v>
                </c:pt>
                <c:pt idx="13">
                  <c:v>17092.534274023299</c:v>
                </c:pt>
                <c:pt idx="14">
                  <c:v>17092.534274023299</c:v>
                </c:pt>
                <c:pt idx="15">
                  <c:v>17092.534274023299</c:v>
                </c:pt>
                <c:pt idx="16">
                  <c:v>17092.534274023299</c:v>
                </c:pt>
                <c:pt idx="17">
                  <c:v>17092.534274023299</c:v>
                </c:pt>
                <c:pt idx="18">
                  <c:v>17092.534274023299</c:v>
                </c:pt>
                <c:pt idx="19">
                  <c:v>17092.534274023299</c:v>
                </c:pt>
                <c:pt idx="20">
                  <c:v>17092.534274023299</c:v>
                </c:pt>
                <c:pt idx="21">
                  <c:v>17092.534274023299</c:v>
                </c:pt>
                <c:pt idx="22">
                  <c:v>17092.534274023299</c:v>
                </c:pt>
                <c:pt idx="23">
                  <c:v>17092.534274023299</c:v>
                </c:pt>
                <c:pt idx="24">
                  <c:v>17092.534274023299</c:v>
                </c:pt>
                <c:pt idx="25">
                  <c:v>17092.534274023299</c:v>
                </c:pt>
                <c:pt idx="26">
                  <c:v>17092.534274023299</c:v>
                </c:pt>
                <c:pt idx="27">
                  <c:v>17092.534274023299</c:v>
                </c:pt>
                <c:pt idx="28">
                  <c:v>17092.534274023299</c:v>
                </c:pt>
                <c:pt idx="29">
                  <c:v>17092.534274023299</c:v>
                </c:pt>
                <c:pt idx="30">
                  <c:v>17092.534274023299</c:v>
                </c:pt>
                <c:pt idx="31">
                  <c:v>17092.534274023299</c:v>
                </c:pt>
                <c:pt idx="32">
                  <c:v>17092.534274023299</c:v>
                </c:pt>
                <c:pt idx="33">
                  <c:v>17092.534274023299</c:v>
                </c:pt>
                <c:pt idx="34">
                  <c:v>17092.534274023299</c:v>
                </c:pt>
                <c:pt idx="35">
                  <c:v>17092.534274023299</c:v>
                </c:pt>
                <c:pt idx="36">
                  <c:v>17092.534274023299</c:v>
                </c:pt>
                <c:pt idx="37">
                  <c:v>17092.534274023299</c:v>
                </c:pt>
                <c:pt idx="38">
                  <c:v>17092.534274023299</c:v>
                </c:pt>
                <c:pt idx="39">
                  <c:v>17092.534274023299</c:v>
                </c:pt>
                <c:pt idx="40">
                  <c:v>17092.534274023299</c:v>
                </c:pt>
                <c:pt idx="41">
                  <c:v>17092.534274023299</c:v>
                </c:pt>
                <c:pt idx="42">
                  <c:v>17092.534274023299</c:v>
                </c:pt>
                <c:pt idx="43">
                  <c:v>17092.534274023299</c:v>
                </c:pt>
                <c:pt idx="44">
                  <c:v>17092.534274023299</c:v>
                </c:pt>
                <c:pt idx="45">
                  <c:v>17092.534274023299</c:v>
                </c:pt>
                <c:pt idx="46">
                  <c:v>17092.534274023299</c:v>
                </c:pt>
                <c:pt idx="47">
                  <c:v>17092.534274023299</c:v>
                </c:pt>
                <c:pt idx="48">
                  <c:v>17092.534274023299</c:v>
                </c:pt>
                <c:pt idx="49">
                  <c:v>17092.534274023299</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14067.494634650142</c:v>
                </c:pt>
                <c:pt idx="1">
                  <c:v>14067.494634650142</c:v>
                </c:pt>
                <c:pt idx="2">
                  <c:v>14067.494634650142</c:v>
                </c:pt>
                <c:pt idx="3">
                  <c:v>14067.494634650142</c:v>
                </c:pt>
                <c:pt idx="4">
                  <c:v>14067.494634650142</c:v>
                </c:pt>
                <c:pt idx="5">
                  <c:v>14067.494634650142</c:v>
                </c:pt>
                <c:pt idx="6">
                  <c:v>14067.494634650142</c:v>
                </c:pt>
                <c:pt idx="7">
                  <c:v>14067.494634650142</c:v>
                </c:pt>
                <c:pt idx="8">
                  <c:v>14067.494634650142</c:v>
                </c:pt>
                <c:pt idx="9">
                  <c:v>14067.494634650142</c:v>
                </c:pt>
                <c:pt idx="10">
                  <c:v>12267.494634650142</c:v>
                </c:pt>
                <c:pt idx="11">
                  <c:v>12267.494634650142</c:v>
                </c:pt>
                <c:pt idx="12">
                  <c:v>12267.494634650142</c:v>
                </c:pt>
                <c:pt idx="13">
                  <c:v>12267.494634650142</c:v>
                </c:pt>
                <c:pt idx="14">
                  <c:v>12267.494634650142</c:v>
                </c:pt>
                <c:pt idx="15">
                  <c:v>12267.494634650142</c:v>
                </c:pt>
                <c:pt idx="16">
                  <c:v>12267.494634650142</c:v>
                </c:pt>
                <c:pt idx="17">
                  <c:v>12267.494634650142</c:v>
                </c:pt>
                <c:pt idx="18">
                  <c:v>12267.494634650142</c:v>
                </c:pt>
                <c:pt idx="19">
                  <c:v>12267.494634650142</c:v>
                </c:pt>
                <c:pt idx="20">
                  <c:v>12267.494634650142</c:v>
                </c:pt>
                <c:pt idx="21">
                  <c:v>12267.494634650142</c:v>
                </c:pt>
                <c:pt idx="22">
                  <c:v>12267.494634650142</c:v>
                </c:pt>
                <c:pt idx="23">
                  <c:v>12267.494634650142</c:v>
                </c:pt>
                <c:pt idx="24">
                  <c:v>12267.494634650142</c:v>
                </c:pt>
                <c:pt idx="25">
                  <c:v>12267.494634650142</c:v>
                </c:pt>
                <c:pt idx="26">
                  <c:v>12267.494634650142</c:v>
                </c:pt>
                <c:pt idx="27">
                  <c:v>12267.494634650142</c:v>
                </c:pt>
                <c:pt idx="28">
                  <c:v>12267.494634650142</c:v>
                </c:pt>
                <c:pt idx="29">
                  <c:v>12267.494634650142</c:v>
                </c:pt>
                <c:pt idx="30">
                  <c:v>12267.494634650142</c:v>
                </c:pt>
                <c:pt idx="31">
                  <c:v>12267.494634650142</c:v>
                </c:pt>
                <c:pt idx="32">
                  <c:v>12267.494634650142</c:v>
                </c:pt>
                <c:pt idx="33">
                  <c:v>12267.494634650142</c:v>
                </c:pt>
                <c:pt idx="34">
                  <c:v>12267.494634650142</c:v>
                </c:pt>
                <c:pt idx="35">
                  <c:v>12267.494634650142</c:v>
                </c:pt>
                <c:pt idx="36">
                  <c:v>12267.494634650142</c:v>
                </c:pt>
                <c:pt idx="37">
                  <c:v>12267.494634650142</c:v>
                </c:pt>
                <c:pt idx="38">
                  <c:v>12267.494634650142</c:v>
                </c:pt>
                <c:pt idx="39">
                  <c:v>12267.494634650142</c:v>
                </c:pt>
                <c:pt idx="40">
                  <c:v>12267.494634650142</c:v>
                </c:pt>
                <c:pt idx="41">
                  <c:v>12267.494634650142</c:v>
                </c:pt>
                <c:pt idx="42">
                  <c:v>12267.494634650142</c:v>
                </c:pt>
                <c:pt idx="43">
                  <c:v>12267.494634650142</c:v>
                </c:pt>
                <c:pt idx="44">
                  <c:v>12267.494634650142</c:v>
                </c:pt>
                <c:pt idx="45">
                  <c:v>12267.494634650142</c:v>
                </c:pt>
                <c:pt idx="46">
                  <c:v>12267.494634650142</c:v>
                </c:pt>
                <c:pt idx="47">
                  <c:v>12267.494634650142</c:v>
                </c:pt>
                <c:pt idx="48">
                  <c:v>12267.494634650142</c:v>
                </c:pt>
                <c:pt idx="49">
                  <c:v>12267.494634650142</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1404.7732747861903</c:v>
                </c:pt>
                <c:pt idx="1">
                  <c:v>1052.2912195541785</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6" name="Billede 5">
          <a:extLst>
            <a:ext uri="{FF2B5EF4-FFF2-40B4-BE49-F238E27FC236}">
              <a16:creationId xmlns:a16="http://schemas.microsoft.com/office/drawing/2014/main" id="{AD11D62C-A1BA-482D-B358-6D25B33D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6972300"/>
          <a:ext cx="3638549" cy="3542376"/>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4" name="Billede 3">
          <a:extLst>
            <a:ext uri="{FF2B5EF4-FFF2-40B4-BE49-F238E27FC236}">
              <a16:creationId xmlns:a16="http://schemas.microsoft.com/office/drawing/2014/main" id="{D7CC37BA-1A65-4193-ABDB-3F3FD3043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2876550"/>
          <a:ext cx="5187906" cy="3248025"/>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2" name="Billede 1">
          <a:extLst>
            <a:ext uri="{FF2B5EF4-FFF2-40B4-BE49-F238E27FC236}">
              <a16:creationId xmlns:a16="http://schemas.microsoft.com/office/drawing/2014/main" id="{D15407E6-61B1-4FDB-956D-3DC9640811D2}"/>
            </a:ext>
          </a:extLst>
        </xdr:cNvPr>
        <xdr:cNvPicPr>
          <a:picLocks noChangeAspect="1"/>
        </xdr:cNvPicPr>
      </xdr:nvPicPr>
      <xdr:blipFill rotWithShape="1">
        <a:blip xmlns:r="http://schemas.openxmlformats.org/officeDocument/2006/relationships" r:embed="rId3"/>
        <a:srcRect l="59782" t="41083" r="18311" b="36854"/>
        <a:stretch/>
      </xdr:blipFill>
      <xdr:spPr>
        <a:xfrm>
          <a:off x="7855326" y="4426323"/>
          <a:ext cx="8012205" cy="2521324"/>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F3FDA659-3860-4E48-8AF1-9CCC553D3EA8}"/>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614647"/>
          <a:ext cx="8213912" cy="1053354"/>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7" name="Billede 6">
          <a:extLst>
            <a:ext uri="{FF2B5EF4-FFF2-40B4-BE49-F238E27FC236}">
              <a16:creationId xmlns:a16="http://schemas.microsoft.com/office/drawing/2014/main" id="{7C4B82C5-93A8-4227-ACA8-FEB19C2314D3}"/>
            </a:ext>
          </a:extLst>
        </xdr:cNvPr>
        <xdr:cNvPicPr>
          <a:picLocks noChangeAspect="1"/>
        </xdr:cNvPicPr>
      </xdr:nvPicPr>
      <xdr:blipFill rotWithShape="1">
        <a:blip xmlns:r="http://schemas.openxmlformats.org/officeDocument/2006/relationships" r:embed="rId4"/>
        <a:srcRect l="59689" t="41770" r="17851" b="49797"/>
        <a:stretch/>
      </xdr:blipFill>
      <xdr:spPr>
        <a:xfrm>
          <a:off x="627531" y="8124265"/>
          <a:ext cx="8213912" cy="963706"/>
        </a:xfrm>
        <a:prstGeom prst="rect">
          <a:avLst/>
        </a:prstGeom>
      </xdr:spPr>
    </xdr:pic>
    <xdr:clientData/>
  </xdr:twoCellAnchor>
  <xdr:twoCellAnchor editAs="oneCell">
    <xdr:from>
      <xdr:col>0</xdr:col>
      <xdr:colOff>635000</xdr:colOff>
      <xdr:row>166</xdr:row>
      <xdr:rowOff>119529</xdr:rowOff>
    </xdr:from>
    <xdr:to>
      <xdr:col>11</xdr:col>
      <xdr:colOff>320768</xdr:colOff>
      <xdr:row>188</xdr:row>
      <xdr:rowOff>104587</xdr:rowOff>
    </xdr:to>
    <xdr:pic>
      <xdr:nvPicPr>
        <xdr:cNvPr id="8" name="Billede 7">
          <a:extLst>
            <a:ext uri="{FF2B5EF4-FFF2-40B4-BE49-F238E27FC236}">
              <a16:creationId xmlns:a16="http://schemas.microsoft.com/office/drawing/2014/main" id="{60668207-8AC5-4704-AE3C-D370E3996357}"/>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071235"/>
          <a:ext cx="6752944" cy="425823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189</xdr:row>
      <xdr:rowOff>7845</xdr:rowOff>
    </xdr:from>
    <xdr:to>
      <xdr:col>12</xdr:col>
      <xdr:colOff>350743</xdr:colOff>
      <xdr:row>196</xdr:row>
      <xdr:rowOff>119531</xdr:rowOff>
    </xdr:to>
    <xdr:pic>
      <xdr:nvPicPr>
        <xdr:cNvPr id="9" name="Billede 3">
          <a:extLst>
            <a:ext uri="{FF2B5EF4-FFF2-40B4-BE49-F238E27FC236}">
              <a16:creationId xmlns:a16="http://schemas.microsoft.com/office/drawing/2014/main" id="{8ECA7581-553F-4F46-A6BA-44E46DCC275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82608" y="36815433"/>
          <a:ext cx="2277782" cy="147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197</xdr:row>
      <xdr:rowOff>89647</xdr:rowOff>
    </xdr:from>
    <xdr:to>
      <xdr:col>12</xdr:col>
      <xdr:colOff>342900</xdr:colOff>
      <xdr:row>205</xdr:row>
      <xdr:rowOff>51920</xdr:rowOff>
    </xdr:to>
    <xdr:pic>
      <xdr:nvPicPr>
        <xdr:cNvPr id="10" name="Billede 3">
          <a:extLst>
            <a:ext uri="{FF2B5EF4-FFF2-40B4-BE49-F238E27FC236}">
              <a16:creationId xmlns:a16="http://schemas.microsoft.com/office/drawing/2014/main" id="{09AF17A7-091C-41FA-BE13-8079145CD84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74765" y="38451118"/>
          <a:ext cx="2277782" cy="151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topLeftCell="A5" zoomScale="70" zoomScaleNormal="70" zoomScaleSheetLayoutView="55" zoomScalePageLayoutView="70" workbookViewId="0">
      <selection activeCell="C6" sqref="C6"/>
    </sheetView>
  </sheetViews>
  <sheetFormatPr defaultColWidth="0" defaultRowHeight="0" customHeight="1" zeroHeight="1" x14ac:dyDescent="0.45"/>
  <cols>
    <col min="1" max="1" width="2.265625" style="1" customWidth="1"/>
    <col min="2" max="2" width="2.73046875" style="1" customWidth="1"/>
    <col min="3" max="3" width="6.86328125" style="1" customWidth="1"/>
    <col min="4" max="4" width="15.59765625" style="1" customWidth="1"/>
    <col min="5" max="5" width="12.265625" style="1" customWidth="1"/>
    <col min="6" max="6" width="18.73046875" style="1" customWidth="1"/>
    <col min="7" max="7" width="14.59765625" style="1" customWidth="1"/>
    <col min="8" max="8" width="15.59765625" style="1" customWidth="1"/>
    <col min="9" max="9" width="6" style="1" customWidth="1"/>
    <col min="10" max="10" width="6.3984375" style="1" customWidth="1"/>
    <col min="11" max="11" width="8.73046875" style="1" customWidth="1"/>
    <col min="12" max="12" width="13.59765625" style="1" customWidth="1"/>
    <col min="13" max="13" width="1.86328125" style="1" customWidth="1"/>
    <col min="14" max="14" width="2.86328125" style="1" customWidth="1"/>
    <col min="15" max="17" width="9.1328125" style="1" hidden="1" customWidth="1"/>
    <col min="18" max="16384" width="9.1328125" style="1" hidden="1"/>
  </cols>
  <sheetData>
    <row r="1" spans="1:16" ht="16.149999999999999" thickBot="1" x14ac:dyDescent="0.5"/>
    <row r="2" spans="1:16" s="5" customFormat="1" ht="37.5" customHeight="1" x14ac:dyDescent="0.45">
      <c r="A2" s="1"/>
      <c r="B2" s="2"/>
      <c r="C2" s="3"/>
      <c r="D2" s="3"/>
      <c r="E2" s="3"/>
      <c r="F2" s="3"/>
      <c r="G2" s="3"/>
      <c r="H2" s="3"/>
      <c r="I2" s="3"/>
      <c r="J2" s="48"/>
      <c r="K2" s="48"/>
      <c r="L2" s="48"/>
      <c r="M2" s="4"/>
      <c r="N2" s="1"/>
      <c r="O2" s="1"/>
      <c r="P2" s="1"/>
    </row>
    <row r="3" spans="1:16" s="5" customFormat="1" ht="38.25" customHeight="1" thickBot="1" x14ac:dyDescent="0.5">
      <c r="A3" s="1"/>
      <c r="B3" s="35"/>
      <c r="C3" s="185"/>
      <c r="D3" s="185"/>
      <c r="E3" s="185"/>
      <c r="F3" s="185"/>
      <c r="G3" s="185"/>
      <c r="H3" s="185"/>
      <c r="I3" s="185"/>
      <c r="J3" s="36"/>
      <c r="K3" s="36"/>
      <c r="L3" s="36"/>
      <c r="M3" s="38"/>
      <c r="N3" s="1"/>
      <c r="O3" s="1"/>
      <c r="P3" s="1"/>
    </row>
    <row r="4" spans="1:16" s="5" customFormat="1" ht="22.5" customHeight="1" x14ac:dyDescent="0.45">
      <c r="A4" s="1"/>
      <c r="B4" s="2"/>
      <c r="C4" s="186" t="s">
        <v>300</v>
      </c>
      <c r="D4" s="186"/>
      <c r="E4" s="186"/>
      <c r="F4" s="186"/>
      <c r="G4" s="186"/>
      <c r="H4" s="186"/>
      <c r="I4" s="186"/>
      <c r="J4" s="186"/>
      <c r="K4" s="186"/>
      <c r="L4" s="80"/>
      <c r="M4" s="45"/>
      <c r="N4" s="1"/>
      <c r="O4" s="1"/>
      <c r="P4" s="1"/>
    </row>
    <row r="5" spans="1:16" s="5" customFormat="1" ht="19.5" customHeight="1" x14ac:dyDescent="0.45">
      <c r="A5" s="1"/>
      <c r="B5" s="14"/>
      <c r="C5" s="187"/>
      <c r="D5" s="187"/>
      <c r="E5" s="187"/>
      <c r="F5" s="187"/>
      <c r="G5" s="187"/>
      <c r="H5" s="187"/>
      <c r="I5" s="187"/>
      <c r="J5" s="187"/>
      <c r="K5" s="187"/>
      <c r="L5" s="81"/>
      <c r="M5" s="43"/>
      <c r="N5" s="1"/>
      <c r="O5" s="1"/>
      <c r="P5" s="1"/>
    </row>
    <row r="6" spans="1:16" s="5" customFormat="1" ht="15.95" customHeight="1" x14ac:dyDescent="0.45">
      <c r="A6" s="1"/>
      <c r="B6" s="12"/>
      <c r="C6" s="8"/>
      <c r="D6" s="8"/>
      <c r="E6" s="8"/>
      <c r="F6" s="8"/>
      <c r="G6" s="1"/>
      <c r="H6" s="1"/>
      <c r="I6" s="1"/>
      <c r="J6" s="1"/>
      <c r="K6" s="1"/>
      <c r="L6" s="1"/>
      <c r="M6" s="9"/>
      <c r="N6" s="1"/>
      <c r="O6" s="1"/>
      <c r="P6" s="1"/>
    </row>
    <row r="7" spans="1:16" s="5" customFormat="1" ht="15.95" customHeight="1" x14ac:dyDescent="0.45">
      <c r="A7" s="1"/>
      <c r="B7" s="12"/>
      <c r="C7" s="44" t="s">
        <v>36</v>
      </c>
      <c r="D7" s="44"/>
      <c r="E7" s="8"/>
      <c r="F7" s="8"/>
      <c r="G7" s="1"/>
      <c r="H7" s="1"/>
      <c r="I7" s="1"/>
      <c r="J7" s="1"/>
      <c r="K7" s="1"/>
      <c r="L7" s="1"/>
      <c r="M7" s="9"/>
      <c r="N7" s="1"/>
      <c r="O7" s="1"/>
      <c r="P7" s="1"/>
    </row>
    <row r="8" spans="1:16" s="5" customFormat="1" ht="15.95" customHeight="1" x14ac:dyDescent="0.45">
      <c r="A8" s="1"/>
      <c r="B8" s="12"/>
      <c r="C8" s="188" t="s">
        <v>57</v>
      </c>
      <c r="D8" s="188"/>
      <c r="E8" s="188"/>
      <c r="F8" s="188"/>
      <c r="G8" s="188"/>
      <c r="H8" s="188"/>
      <c r="I8" s="188"/>
      <c r="J8" s="188"/>
      <c r="K8" s="188"/>
      <c r="L8" s="82"/>
      <c r="M8" s="9"/>
      <c r="N8" s="1"/>
      <c r="O8" s="1"/>
      <c r="P8" s="1"/>
    </row>
    <row r="9" spans="1:16" s="5" customFormat="1" ht="15.95" customHeight="1" x14ac:dyDescent="0.45">
      <c r="A9" s="1"/>
      <c r="B9" s="12"/>
      <c r="C9" s="49"/>
      <c r="D9" s="49"/>
      <c r="E9" s="49"/>
      <c r="F9" s="50"/>
      <c r="G9" s="1"/>
      <c r="H9" s="1"/>
      <c r="I9" s="1"/>
      <c r="J9" s="1"/>
      <c r="K9" s="1"/>
      <c r="L9" s="1"/>
      <c r="M9" s="9"/>
      <c r="N9" s="1"/>
      <c r="O9" s="1"/>
      <c r="P9" s="1"/>
    </row>
    <row r="10" spans="1:16" s="5" customFormat="1" ht="15.95" customHeight="1" x14ac:dyDescent="0.45">
      <c r="A10" s="1"/>
      <c r="B10" s="12"/>
      <c r="C10" s="49"/>
      <c r="D10" s="49"/>
      <c r="E10" s="49"/>
      <c r="F10" s="50"/>
      <c r="G10" s="1"/>
      <c r="H10" s="1"/>
      <c r="I10" s="1"/>
      <c r="J10" s="1"/>
      <c r="K10" s="1"/>
      <c r="L10" s="1"/>
      <c r="M10" s="9"/>
      <c r="N10" s="1"/>
      <c r="O10" s="1"/>
      <c r="P10" s="1"/>
    </row>
    <row r="11" spans="1:16" s="5" customFormat="1" ht="15.95" customHeight="1" x14ac:dyDescent="0.45">
      <c r="A11" s="1"/>
      <c r="B11" s="12"/>
      <c r="C11" s="49"/>
      <c r="D11" s="49"/>
      <c r="E11" s="49"/>
      <c r="F11" s="50"/>
      <c r="G11" s="1"/>
      <c r="H11" s="1"/>
      <c r="I11" s="1"/>
      <c r="J11" s="1"/>
      <c r="K11" s="1"/>
      <c r="L11" s="1"/>
      <c r="M11" s="9"/>
      <c r="N11" s="1"/>
      <c r="O11" s="1"/>
      <c r="P11" s="1"/>
    </row>
    <row r="12" spans="1:16" s="5" customFormat="1" ht="15.95" customHeight="1" x14ac:dyDescent="0.45">
      <c r="A12" s="1"/>
      <c r="B12" s="12"/>
      <c r="C12" s="49"/>
      <c r="D12" s="49"/>
      <c r="E12" s="49"/>
      <c r="F12" s="50"/>
      <c r="G12" s="1"/>
      <c r="H12" s="1"/>
      <c r="I12" s="1"/>
      <c r="J12" s="1"/>
      <c r="K12" s="1"/>
      <c r="L12" s="1"/>
      <c r="M12" s="9"/>
      <c r="N12" s="1"/>
      <c r="O12" s="1"/>
      <c r="P12" s="1"/>
    </row>
    <row r="13" spans="1:16" s="5" customFormat="1" ht="15.95" customHeight="1" x14ac:dyDescent="0.45">
      <c r="A13" s="1"/>
      <c r="B13" s="12"/>
      <c r="C13" s="49"/>
      <c r="D13" s="49"/>
      <c r="E13" s="49"/>
      <c r="F13" s="50"/>
      <c r="G13" s="1"/>
      <c r="H13" s="1"/>
      <c r="I13" s="1"/>
      <c r="J13" s="1"/>
      <c r="K13" s="1"/>
      <c r="L13" s="1"/>
      <c r="M13" s="9"/>
      <c r="N13" s="1"/>
      <c r="O13" s="1"/>
      <c r="P13" s="1"/>
    </row>
    <row r="14" spans="1:16" s="5" customFormat="1" ht="15.95" customHeight="1" x14ac:dyDescent="0.45">
      <c r="A14" s="1"/>
      <c r="B14" s="12"/>
      <c r="C14" s="49"/>
      <c r="D14" s="49"/>
      <c r="E14" s="49"/>
      <c r="F14" s="50"/>
      <c r="G14" s="1"/>
      <c r="H14" s="1"/>
      <c r="I14" s="1"/>
      <c r="J14" s="1"/>
      <c r="K14" s="1"/>
      <c r="L14" s="1"/>
      <c r="M14" s="9"/>
      <c r="N14" s="1"/>
      <c r="O14" s="1"/>
      <c r="P14" s="1"/>
    </row>
    <row r="15" spans="1:16" s="5" customFormat="1" ht="15.95" customHeight="1" x14ac:dyDescent="0.45">
      <c r="A15" s="1"/>
      <c r="B15" s="12"/>
      <c r="C15" s="49"/>
      <c r="D15" s="49"/>
      <c r="E15" s="49"/>
      <c r="F15" s="50"/>
      <c r="G15" s="1"/>
      <c r="H15" s="1"/>
      <c r="I15" s="1"/>
      <c r="J15" s="1"/>
      <c r="K15" s="1"/>
      <c r="L15" s="1"/>
      <c r="M15" s="9"/>
      <c r="N15" s="1"/>
      <c r="O15" s="1"/>
      <c r="P15" s="1"/>
    </row>
    <row r="16" spans="1:16" s="5" customFormat="1" ht="15.95" customHeight="1" x14ac:dyDescent="0.45">
      <c r="A16" s="1"/>
      <c r="B16" s="12"/>
      <c r="C16" s="10"/>
      <c r="D16" s="10"/>
      <c r="E16" s="10"/>
      <c r="F16" s="1"/>
      <c r="G16" s="11"/>
      <c r="H16" s="11"/>
      <c r="I16" s="1"/>
      <c r="J16" s="1"/>
      <c r="K16" s="1"/>
      <c r="L16" s="1"/>
      <c r="M16" s="9"/>
      <c r="N16" s="1"/>
      <c r="O16" s="1"/>
      <c r="P16" s="1"/>
    </row>
    <row r="17" spans="1:16" s="5" customFormat="1" ht="15.95" customHeight="1" x14ac:dyDescent="0.45">
      <c r="A17" s="1"/>
      <c r="B17" s="12"/>
      <c r="C17" s="1"/>
      <c r="D17" s="1"/>
      <c r="E17" s="1"/>
      <c r="F17" s="47"/>
      <c r="G17" s="11"/>
      <c r="H17" s="11"/>
      <c r="I17" s="1"/>
      <c r="J17" s="1"/>
      <c r="K17" s="1"/>
      <c r="L17" s="1"/>
      <c r="M17" s="9"/>
      <c r="N17" s="1"/>
      <c r="O17" s="1"/>
      <c r="P17" s="1"/>
    </row>
    <row r="18" spans="1:16" s="5" customFormat="1" ht="15.95" customHeight="1" x14ac:dyDescent="0.45">
      <c r="A18" s="1"/>
      <c r="B18" s="12"/>
      <c r="C18" s="1"/>
      <c r="D18" s="1"/>
      <c r="E18" s="1"/>
      <c r="F18" s="47"/>
      <c r="G18" s="11"/>
      <c r="H18" s="11"/>
      <c r="I18" s="1"/>
      <c r="J18" s="1"/>
      <c r="K18" s="1"/>
      <c r="L18" s="1"/>
      <c r="M18" s="9"/>
      <c r="N18" s="1"/>
      <c r="O18" s="1"/>
      <c r="P18" s="1"/>
    </row>
    <row r="19" spans="1:16" s="5" customFormat="1" ht="15.95" customHeight="1" x14ac:dyDescent="0.45">
      <c r="A19" s="1"/>
      <c r="B19" s="12"/>
      <c r="C19" s="1"/>
      <c r="D19" s="1"/>
      <c r="E19" s="1"/>
      <c r="F19" s="47"/>
      <c r="G19" s="11"/>
      <c r="H19" s="11"/>
      <c r="I19" s="1"/>
      <c r="J19" s="1"/>
      <c r="K19" s="1"/>
      <c r="L19" s="1"/>
      <c r="M19" s="9"/>
      <c r="N19" s="1"/>
      <c r="O19" s="1"/>
      <c r="P19" s="1"/>
    </row>
    <row r="20" spans="1:16" s="5" customFormat="1" ht="15.95" customHeight="1" x14ac:dyDescent="0.45">
      <c r="A20" s="1"/>
      <c r="B20" s="12"/>
      <c r="C20" s="1"/>
      <c r="D20" s="1"/>
      <c r="E20" s="1"/>
      <c r="F20" s="47"/>
      <c r="G20" s="11"/>
      <c r="H20" s="11"/>
      <c r="I20" s="1"/>
      <c r="J20" s="1"/>
      <c r="K20" s="1"/>
      <c r="L20" s="1"/>
      <c r="M20" s="9"/>
      <c r="N20" s="1"/>
      <c r="O20" s="1"/>
      <c r="P20" s="1"/>
    </row>
    <row r="21" spans="1:16" s="5" customFormat="1" ht="15.95" customHeight="1" x14ac:dyDescent="0.45">
      <c r="A21" s="1"/>
      <c r="B21" s="12"/>
      <c r="C21" s="1"/>
      <c r="D21" s="1"/>
      <c r="E21" s="1"/>
      <c r="F21" s="1"/>
      <c r="G21" s="11"/>
      <c r="H21" s="11"/>
      <c r="I21" s="1"/>
      <c r="J21" s="1"/>
      <c r="K21" s="1"/>
      <c r="L21" s="1"/>
      <c r="M21" s="9"/>
      <c r="N21" s="1"/>
      <c r="O21" s="1"/>
      <c r="P21" s="1"/>
    </row>
    <row r="22" spans="1:16" ht="15.95" customHeight="1" x14ac:dyDescent="0.45">
      <c r="B22" s="12"/>
      <c r="M22" s="9"/>
    </row>
    <row r="23" spans="1:16" s="5" customFormat="1" ht="15.95" customHeight="1" x14ac:dyDescent="0.45">
      <c r="A23" s="1"/>
      <c r="B23" s="12"/>
      <c r="C23" s="10"/>
      <c r="D23" s="10"/>
      <c r="E23" s="8"/>
      <c r="F23" s="1"/>
      <c r="G23" s="11"/>
      <c r="H23" s="11"/>
      <c r="I23" s="1"/>
      <c r="J23" s="1"/>
      <c r="K23" s="1"/>
      <c r="L23" s="1"/>
      <c r="M23" s="9"/>
      <c r="N23" s="1"/>
      <c r="O23" s="1"/>
      <c r="P23" s="1"/>
    </row>
    <row r="24" spans="1:16" s="5" customFormat="1" ht="15.95" customHeight="1" x14ac:dyDescent="0.45">
      <c r="A24" s="1"/>
      <c r="B24" s="12"/>
      <c r="C24" s="1"/>
      <c r="D24" s="1"/>
      <c r="E24" s="1"/>
      <c r="F24" s="1"/>
      <c r="G24" s="11"/>
      <c r="H24" s="11"/>
      <c r="I24" s="1"/>
      <c r="J24" s="1"/>
      <c r="K24" s="1"/>
      <c r="L24" s="1"/>
      <c r="M24" s="9"/>
      <c r="N24" s="1"/>
      <c r="O24" s="1"/>
      <c r="P24" s="1"/>
    </row>
    <row r="25" spans="1:16" s="5" customFormat="1" ht="15.95" customHeight="1" x14ac:dyDescent="0.45">
      <c r="A25" s="1"/>
      <c r="B25" s="12"/>
      <c r="C25" s="1"/>
      <c r="D25" s="1"/>
      <c r="E25" s="1"/>
      <c r="F25" s="1"/>
      <c r="G25" s="11"/>
      <c r="H25" s="11"/>
      <c r="I25" s="1"/>
      <c r="J25" s="1"/>
      <c r="K25" s="1"/>
      <c r="L25" s="1"/>
      <c r="M25" s="9"/>
      <c r="N25" s="1"/>
      <c r="O25" s="1"/>
      <c r="P25" s="1"/>
    </row>
    <row r="26" spans="1:16" s="5" customFormat="1" ht="15.95" customHeight="1" x14ac:dyDescent="0.45">
      <c r="A26" s="1"/>
      <c r="B26" s="12"/>
      <c r="C26" s="1"/>
      <c r="D26" s="1"/>
      <c r="E26" s="1"/>
      <c r="F26" s="1"/>
      <c r="G26" s="11"/>
      <c r="H26" s="11"/>
      <c r="I26" s="1"/>
      <c r="J26" s="1"/>
      <c r="K26" s="1"/>
      <c r="L26" s="1"/>
      <c r="M26" s="9"/>
      <c r="N26" s="1"/>
      <c r="O26" s="1"/>
      <c r="P26" s="1"/>
    </row>
    <row r="27" spans="1:16" s="5" customFormat="1" ht="15.95" customHeight="1" x14ac:dyDescent="0.45">
      <c r="A27" s="1"/>
      <c r="B27" s="12"/>
      <c r="C27" s="1"/>
      <c r="D27" s="1"/>
      <c r="E27" s="1"/>
      <c r="F27" s="1"/>
      <c r="G27" s="11"/>
      <c r="H27" s="11"/>
      <c r="I27" s="1"/>
      <c r="J27" s="1"/>
      <c r="K27" s="1"/>
      <c r="L27" s="1"/>
      <c r="M27" s="9"/>
      <c r="N27" s="1"/>
      <c r="O27" s="1"/>
      <c r="P27" s="1"/>
    </row>
    <row r="28" spans="1:16" s="5" customFormat="1" ht="15.95" customHeight="1" x14ac:dyDescent="0.45">
      <c r="A28" s="1"/>
      <c r="B28" s="12"/>
      <c r="C28" s="8"/>
      <c r="D28" s="8"/>
      <c r="E28" s="8"/>
      <c r="F28" s="1"/>
      <c r="G28" s="11"/>
      <c r="H28" s="11"/>
      <c r="I28" s="1"/>
      <c r="J28" s="1"/>
      <c r="K28" s="1"/>
      <c r="L28" s="1"/>
      <c r="M28" s="9"/>
      <c r="N28" s="1"/>
      <c r="O28" s="1"/>
      <c r="P28" s="1"/>
    </row>
    <row r="29" spans="1:16" s="5" customFormat="1" ht="15.95" customHeight="1" x14ac:dyDescent="0.45">
      <c r="A29" s="1"/>
      <c r="B29" s="12"/>
      <c r="C29" s="8"/>
      <c r="D29" s="8"/>
      <c r="E29" s="8"/>
      <c r="F29" s="1"/>
      <c r="G29" s="11"/>
      <c r="H29" s="11"/>
      <c r="I29" s="1"/>
      <c r="J29" s="1"/>
      <c r="K29" s="1"/>
      <c r="L29" s="1"/>
      <c r="M29" s="9"/>
      <c r="N29" s="1"/>
      <c r="O29" s="1"/>
      <c r="P29" s="1"/>
    </row>
    <row r="30" spans="1:16" s="5" customFormat="1" ht="15.95" customHeight="1" x14ac:dyDescent="0.45">
      <c r="A30" s="1"/>
      <c r="B30" s="12"/>
      <c r="C30" s="1"/>
      <c r="D30" s="1"/>
      <c r="E30" s="1"/>
      <c r="F30" s="1"/>
      <c r="G30" s="21"/>
      <c r="H30" s="21"/>
      <c r="I30" s="1"/>
      <c r="J30" s="1"/>
      <c r="K30" s="1"/>
      <c r="L30" s="1"/>
      <c r="M30" s="9"/>
      <c r="N30" s="1"/>
      <c r="O30" s="1"/>
      <c r="P30" s="1"/>
    </row>
    <row r="31" spans="1:16" s="5" customFormat="1" ht="15.95" customHeight="1" x14ac:dyDescent="0.45">
      <c r="A31" s="1"/>
      <c r="B31" s="12"/>
      <c r="C31" s="8"/>
      <c r="D31" s="8"/>
      <c r="E31" s="8"/>
      <c r="F31" s="1"/>
      <c r="G31" s="11"/>
      <c r="H31" s="11"/>
      <c r="I31" s="1"/>
      <c r="J31" s="1"/>
      <c r="K31" s="1"/>
      <c r="L31" s="1"/>
      <c r="M31" s="9"/>
      <c r="N31" s="1"/>
      <c r="O31" s="1"/>
      <c r="P31" s="1"/>
    </row>
    <row r="32" spans="1:16" s="5" customFormat="1" ht="15.95" customHeight="1" x14ac:dyDescent="0.45">
      <c r="A32" s="1"/>
      <c r="B32" s="12"/>
      <c r="C32" s="1"/>
      <c r="D32" s="1"/>
      <c r="E32" s="1"/>
      <c r="F32" s="22"/>
      <c r="G32" s="11"/>
      <c r="H32" s="11"/>
      <c r="I32" s="1"/>
      <c r="J32" s="1"/>
      <c r="K32" s="1"/>
      <c r="L32" s="1"/>
      <c r="M32" s="9"/>
      <c r="N32" s="1"/>
      <c r="O32" s="1"/>
      <c r="P32" s="1"/>
    </row>
    <row r="33" spans="1:16" s="5" customFormat="1" ht="15.95" customHeight="1" x14ac:dyDescent="0.45">
      <c r="A33" s="1"/>
      <c r="B33" s="12"/>
      <c r="C33" s="8"/>
      <c r="D33" s="8"/>
      <c r="E33" s="8"/>
      <c r="F33" s="1"/>
      <c r="G33" s="11"/>
      <c r="H33" s="11"/>
      <c r="I33" s="1"/>
      <c r="J33" s="1"/>
      <c r="K33" s="1"/>
      <c r="L33" s="1"/>
      <c r="M33" s="9"/>
      <c r="N33" s="1"/>
      <c r="O33" s="1"/>
      <c r="P33" s="1"/>
    </row>
    <row r="34" spans="1:16" s="5" customFormat="1" ht="15.95" customHeight="1" x14ac:dyDescent="0.45">
      <c r="A34" s="1"/>
      <c r="B34" s="12"/>
      <c r="C34" s="1"/>
      <c r="D34" s="1"/>
      <c r="E34" s="1"/>
      <c r="F34" s="1"/>
      <c r="G34" s="11"/>
      <c r="H34" s="11"/>
      <c r="I34" s="1"/>
      <c r="J34" s="1"/>
      <c r="K34" s="1"/>
      <c r="L34" s="1"/>
      <c r="M34" s="9"/>
      <c r="N34" s="1"/>
      <c r="O34" s="1"/>
      <c r="P34" s="1"/>
    </row>
    <row r="35" spans="1:16" s="5" customFormat="1" ht="15.95" customHeight="1" x14ac:dyDescent="0.45">
      <c r="A35" s="1"/>
      <c r="B35" s="12"/>
      <c r="C35" s="1"/>
      <c r="D35" s="1"/>
      <c r="E35" s="1"/>
      <c r="F35" s="1"/>
      <c r="G35" s="11"/>
      <c r="H35" s="11"/>
      <c r="I35" s="1"/>
      <c r="J35" s="1"/>
      <c r="K35" s="1"/>
      <c r="L35" s="1"/>
      <c r="M35" s="9"/>
      <c r="N35" s="1"/>
      <c r="O35" s="1"/>
      <c r="P35" s="1"/>
    </row>
    <row r="36" spans="1:16" s="5" customFormat="1" ht="15.95" customHeight="1" x14ac:dyDescent="0.45">
      <c r="A36" s="1"/>
      <c r="B36" s="12"/>
      <c r="C36" s="1"/>
      <c r="D36" s="1"/>
      <c r="E36" s="1"/>
      <c r="F36" s="1"/>
      <c r="G36" s="11"/>
      <c r="H36" s="11"/>
      <c r="I36" s="1"/>
      <c r="J36" s="1"/>
      <c r="K36" s="1"/>
      <c r="L36" s="1"/>
      <c r="M36" s="9"/>
      <c r="N36" s="1"/>
      <c r="O36" s="1"/>
      <c r="P36" s="1"/>
    </row>
    <row r="37" spans="1:16" s="5" customFormat="1" ht="15.95" customHeight="1" x14ac:dyDescent="0.45">
      <c r="A37" s="1"/>
      <c r="B37" s="12"/>
      <c r="C37" s="1"/>
      <c r="D37" s="1"/>
      <c r="E37" s="1"/>
      <c r="F37" s="1"/>
      <c r="G37" s="11"/>
      <c r="H37" s="11"/>
      <c r="I37" s="1"/>
      <c r="J37" s="1"/>
      <c r="K37" s="1"/>
      <c r="L37" s="1"/>
      <c r="M37" s="9"/>
      <c r="N37" s="1"/>
      <c r="O37" s="1"/>
      <c r="P37" s="1"/>
    </row>
    <row r="38" spans="1:16" s="5" customFormat="1" ht="15.95" customHeight="1" x14ac:dyDescent="0.45">
      <c r="A38" s="1"/>
      <c r="B38" s="12"/>
      <c r="C38" s="1"/>
      <c r="D38" s="1"/>
      <c r="E38" s="1"/>
      <c r="F38" s="1"/>
      <c r="G38" s="21"/>
      <c r="H38" s="21"/>
      <c r="I38" s="1"/>
      <c r="J38" s="1"/>
      <c r="K38" s="1"/>
      <c r="L38" s="1"/>
      <c r="M38" s="9"/>
      <c r="N38" s="1"/>
      <c r="O38" s="1"/>
      <c r="P38" s="1"/>
    </row>
    <row r="39" spans="1:16" s="5" customFormat="1" ht="15.95" customHeight="1" x14ac:dyDescent="0.45">
      <c r="A39" s="1"/>
      <c r="B39" s="12"/>
      <c r="C39" s="1"/>
      <c r="D39" s="1"/>
      <c r="E39" s="1"/>
      <c r="F39" s="1"/>
      <c r="G39" s="21"/>
      <c r="H39" s="21"/>
      <c r="I39" s="1"/>
      <c r="J39" s="1"/>
      <c r="K39" s="1"/>
      <c r="L39" s="1"/>
      <c r="M39" s="9"/>
      <c r="N39" s="1"/>
      <c r="O39" s="1"/>
      <c r="P39" s="1"/>
    </row>
    <row r="40" spans="1:16" s="5" customFormat="1" ht="15.95" customHeight="1" x14ac:dyDescent="0.45">
      <c r="A40" s="1"/>
      <c r="B40" s="12"/>
      <c r="C40" s="1"/>
      <c r="D40" s="1"/>
      <c r="E40" s="1"/>
      <c r="F40" s="1"/>
      <c r="G40" s="21"/>
      <c r="H40" s="21"/>
      <c r="I40" s="1"/>
      <c r="J40" s="1"/>
      <c r="K40" s="1"/>
      <c r="L40" s="1"/>
      <c r="M40" s="9"/>
      <c r="N40" s="1"/>
      <c r="O40" s="1"/>
      <c r="P40" s="1"/>
    </row>
    <row r="41" spans="1:16" s="5" customFormat="1" ht="37.5" customHeight="1" x14ac:dyDescent="0.45">
      <c r="A41" s="1"/>
      <c r="B41" s="12"/>
      <c r="C41" s="1"/>
      <c r="D41" s="1"/>
      <c r="E41" s="1"/>
      <c r="F41" s="1"/>
      <c r="G41" s="1"/>
      <c r="H41" s="1"/>
      <c r="I41" s="1"/>
      <c r="J41" s="1"/>
      <c r="K41" s="60"/>
      <c r="L41" s="60"/>
      <c r="M41" s="9"/>
      <c r="N41" s="1"/>
      <c r="O41" s="1"/>
      <c r="P41" s="1"/>
    </row>
    <row r="42" spans="1:16" s="5" customFormat="1" ht="37.5" customHeight="1" x14ac:dyDescent="0.45">
      <c r="A42" s="1"/>
      <c r="B42" s="12"/>
      <c r="C42" s="1"/>
      <c r="D42" s="1"/>
      <c r="E42" s="1"/>
      <c r="F42" s="1"/>
      <c r="G42" s="1"/>
      <c r="H42" s="1"/>
      <c r="I42" s="1"/>
      <c r="J42" s="1"/>
      <c r="K42" s="60"/>
      <c r="L42" s="60"/>
      <c r="M42" s="9"/>
      <c r="N42" s="1"/>
      <c r="O42" s="1"/>
      <c r="P42" s="1"/>
    </row>
    <row r="43" spans="1:16" s="5" customFormat="1" ht="15" customHeight="1" x14ac:dyDescent="0.45">
      <c r="A43" s="1"/>
      <c r="B43" s="12"/>
      <c r="C43" s="1"/>
      <c r="D43" s="1"/>
      <c r="E43" s="1"/>
      <c r="F43" s="1"/>
      <c r="G43" s="1"/>
      <c r="H43" s="1"/>
      <c r="I43" s="1"/>
      <c r="J43" s="1"/>
      <c r="K43" s="60"/>
      <c r="L43" s="60"/>
      <c r="M43" s="9"/>
      <c r="N43" s="1"/>
      <c r="O43" s="1"/>
      <c r="P43" s="1"/>
    </row>
    <row r="44" spans="1:16" s="5" customFormat="1" ht="15" customHeight="1" x14ac:dyDescent="0.45">
      <c r="A44" s="1"/>
      <c r="B44" s="12"/>
      <c r="C44" s="1"/>
      <c r="D44" s="1"/>
      <c r="E44" s="1"/>
      <c r="F44" s="1"/>
      <c r="G44" s="1"/>
      <c r="H44" s="1"/>
      <c r="I44" s="1"/>
      <c r="J44" s="1"/>
      <c r="K44" s="1"/>
      <c r="L44" s="1"/>
      <c r="M44" s="9"/>
      <c r="N44" s="1"/>
      <c r="O44" s="1"/>
      <c r="P44" s="1"/>
    </row>
    <row r="45" spans="1:16" s="5" customFormat="1" ht="15" customHeight="1" x14ac:dyDescent="0.45">
      <c r="A45" s="1"/>
      <c r="B45" s="12"/>
      <c r="C45" s="1"/>
      <c r="D45" s="1"/>
      <c r="E45" s="1"/>
      <c r="F45" s="1"/>
      <c r="G45" s="1"/>
      <c r="H45" s="1"/>
      <c r="I45" s="1"/>
      <c r="J45" s="1"/>
      <c r="K45" s="1"/>
      <c r="L45" s="1"/>
      <c r="M45" s="9"/>
      <c r="N45" s="1"/>
      <c r="O45" s="1"/>
      <c r="P45" s="1"/>
    </row>
    <row r="46" spans="1:16" s="5" customFormat="1" ht="15.75" customHeight="1" x14ac:dyDescent="0.45">
      <c r="A46" s="1"/>
      <c r="B46" s="12"/>
      <c r="C46" s="1"/>
      <c r="D46" s="107"/>
      <c r="E46" s="107"/>
      <c r="F46" s="107"/>
      <c r="G46" s="107"/>
      <c r="H46" s="107"/>
      <c r="I46" s="107"/>
      <c r="J46" s="107"/>
      <c r="K46" s="107"/>
      <c r="L46" s="60"/>
      <c r="M46" s="9"/>
      <c r="N46" s="1"/>
      <c r="O46" s="1"/>
      <c r="P46" s="1"/>
    </row>
    <row r="47" spans="1:16" s="5" customFormat="1" ht="15.75" customHeight="1" x14ac:dyDescent="0.45">
      <c r="A47" s="1"/>
      <c r="B47" s="12"/>
      <c r="C47" s="1"/>
      <c r="D47" s="180" t="s">
        <v>202</v>
      </c>
      <c r="E47" s="131"/>
      <c r="F47" s="131"/>
      <c r="G47" s="131"/>
      <c r="H47" s="184" t="s">
        <v>291</v>
      </c>
      <c r="I47" s="184"/>
      <c r="J47" s="131"/>
      <c r="L47" s="148"/>
      <c r="M47" s="9"/>
      <c r="N47" s="1"/>
      <c r="O47" s="1"/>
      <c r="P47" s="1"/>
    </row>
    <row r="48" spans="1:16" s="5" customFormat="1" ht="15.75" customHeight="1" x14ac:dyDescent="0.45">
      <c r="A48" s="1"/>
      <c r="B48" s="12"/>
      <c r="C48" s="1"/>
      <c r="D48" s="161" t="str">
        <f>Prisberegner!C112</f>
        <v>Ved tilslutning (år 1)</v>
      </c>
      <c r="E48" s="128"/>
      <c r="F48" s="128"/>
      <c r="G48" s="128"/>
      <c r="H48" s="162">
        <f>Prisberegner!E112</f>
        <v>672.48987348308947</v>
      </c>
      <c r="I48" s="128"/>
      <c r="J48" s="128"/>
      <c r="K48" s="183" t="s">
        <v>235</v>
      </c>
      <c r="L48" s="183"/>
      <c r="M48" s="9"/>
      <c r="N48" s="1"/>
      <c r="O48" s="1"/>
      <c r="P48" s="1"/>
    </row>
    <row r="49" spans="1:16" s="5" customFormat="1" ht="15.95" customHeight="1" x14ac:dyDescent="0.45">
      <c r="A49" s="1"/>
      <c r="B49" s="12"/>
      <c r="C49" s="1"/>
      <c r="D49" s="161" t="str">
        <f ca="1">Prisberegner!C113</f>
        <v xml:space="preserve">   Efter investering i ny gaskedel om 5 år</v>
      </c>
      <c r="E49" s="128"/>
      <c r="F49" s="128"/>
      <c r="G49" s="128"/>
      <c r="H49" s="162">
        <f ca="1">Prisberegner!E113</f>
        <v>3025.0396393731571</v>
      </c>
      <c r="I49" s="128"/>
      <c r="J49" s="130"/>
      <c r="K49" s="183"/>
      <c r="L49" s="183"/>
      <c r="M49" s="9"/>
      <c r="N49" s="1"/>
      <c r="O49" s="1"/>
      <c r="P49" s="1"/>
    </row>
    <row r="50" spans="1:16" s="5" customFormat="1" ht="15.95" customHeight="1" x14ac:dyDescent="0.45">
      <c r="A50" s="1"/>
      <c r="B50" s="12"/>
      <c r="C50" s="1"/>
      <c r="D50" s="161" t="str">
        <f ca="1">Prisberegner!C114</f>
        <v xml:space="preserve">      Efter udløb af tillæg om 10 år</v>
      </c>
      <c r="E50" s="128"/>
      <c r="F50" s="128"/>
      <c r="G50" s="128"/>
      <c r="H50" s="162">
        <f ca="1">Prisberegner!E114</f>
        <v>4825.0396393731571</v>
      </c>
      <c r="I50" s="128"/>
      <c r="J50" s="130"/>
      <c r="K50" s="183"/>
      <c r="L50" s="183"/>
      <c r="M50" s="9"/>
      <c r="N50" s="1"/>
      <c r="O50" s="1"/>
      <c r="P50" s="1"/>
    </row>
    <row r="51" spans="1:16" s="5" customFormat="1" ht="15.95" customHeight="1" x14ac:dyDescent="0.45">
      <c r="A51" s="1"/>
      <c r="B51" s="12"/>
      <c r="C51" s="1"/>
      <c r="D51" s="161" t="str">
        <f ca="1">Prisberegner!C115</f>
        <v xml:space="preserve">         Efter afskrevne tilslutningsbidrag om 30 år</v>
      </c>
      <c r="E51" s="128"/>
      <c r="F51" s="128"/>
      <c r="G51" s="128"/>
      <c r="H51" s="162">
        <f ca="1">Prisberegner!E115</f>
        <v>4825.0396393731571</v>
      </c>
      <c r="I51" s="128"/>
      <c r="J51" s="130"/>
      <c r="K51" s="183"/>
      <c r="L51" s="183"/>
      <c r="M51" s="9"/>
      <c r="N51" s="1"/>
      <c r="O51" s="1"/>
      <c r="P51" s="1"/>
    </row>
    <row r="52" spans="1:16" s="5" customFormat="1" ht="15.95" customHeight="1" x14ac:dyDescent="0.45">
      <c r="A52" s="1"/>
      <c r="B52" s="12"/>
      <c r="C52" s="1"/>
      <c r="D52" s="161" t="str">
        <f ca="1">Prisberegner!C116</f>
        <v xml:space="preserve">            Efter levetidsforlængelse eller ny unit om 25 år</v>
      </c>
      <c r="E52" s="128"/>
      <c r="F52" s="128"/>
      <c r="G52" s="128"/>
      <c r="H52" s="162">
        <f ca="1">Prisberegner!E116</f>
        <v>4825.0396393731571</v>
      </c>
      <c r="I52" s="128"/>
      <c r="J52" s="130"/>
      <c r="K52" s="183"/>
      <c r="L52" s="183"/>
      <c r="M52" s="9"/>
      <c r="N52" s="1"/>
      <c r="O52" s="1"/>
      <c r="P52" s="1"/>
    </row>
    <row r="53" spans="1:16" s="5" customFormat="1" ht="15.95" customHeight="1" x14ac:dyDescent="0.45">
      <c r="A53" s="1"/>
      <c r="B53" s="12"/>
      <c r="C53" s="57"/>
      <c r="D53" s="1"/>
      <c r="E53" s="1"/>
      <c r="F53" s="1"/>
      <c r="G53" s="1"/>
      <c r="H53" s="1"/>
      <c r="I53" s="1"/>
      <c r="J53" s="127"/>
      <c r="K53" s="148"/>
      <c r="L53" s="148"/>
      <c r="M53" s="9"/>
      <c r="N53" s="1"/>
      <c r="O53" s="1"/>
      <c r="P53" s="1"/>
    </row>
    <row r="54" spans="1:16" s="5" customFormat="1" ht="15.95" customHeight="1" x14ac:dyDescent="0.45">
      <c r="A54" s="1"/>
      <c r="B54" s="12"/>
      <c r="C54" s="57"/>
      <c r="D54" s="180" t="s">
        <v>203</v>
      </c>
      <c r="E54" s="128"/>
      <c r="F54" s="128"/>
      <c r="G54" s="128"/>
      <c r="H54" s="128"/>
      <c r="I54" s="128"/>
      <c r="J54" s="130"/>
      <c r="K54" s="148"/>
      <c r="L54" s="148"/>
      <c r="M54" s="9"/>
      <c r="N54" s="1"/>
      <c r="O54" s="1"/>
      <c r="P54" s="1"/>
    </row>
    <row r="55" spans="1:16" s="5" customFormat="1" ht="15.95" customHeight="1" x14ac:dyDescent="0.45">
      <c r="A55" s="1"/>
      <c r="B55" s="12"/>
      <c r="C55" s="58"/>
      <c r="D55" s="128" t="s">
        <v>218</v>
      </c>
      <c r="E55" s="128"/>
      <c r="F55" s="131"/>
      <c r="G55" s="131"/>
      <c r="H55" s="163">
        <f>Prisberegner!E118</f>
        <v>672.48987348308947</v>
      </c>
      <c r="I55" s="128" t="s">
        <v>23</v>
      </c>
      <c r="J55" s="131"/>
      <c r="K55" s="183" t="s">
        <v>290</v>
      </c>
      <c r="L55" s="183"/>
      <c r="M55" s="9"/>
      <c r="N55" s="1"/>
      <c r="O55" s="1"/>
      <c r="P55" s="1"/>
    </row>
    <row r="56" spans="1:16" s="5" customFormat="1" ht="15.95" customHeight="1" x14ac:dyDescent="0.45">
      <c r="A56" s="1"/>
      <c r="B56" s="12"/>
      <c r="C56" s="58"/>
      <c r="D56" s="128" t="s">
        <v>201</v>
      </c>
      <c r="E56" s="128"/>
      <c r="F56" s="131"/>
      <c r="G56" s="131"/>
      <c r="H56" s="163">
        <f>Prisberegner!E97+Prisberegner!E91</f>
        <v>0</v>
      </c>
      <c r="I56" s="128" t="s">
        <v>2</v>
      </c>
      <c r="J56" s="131"/>
      <c r="K56" s="183"/>
      <c r="L56" s="183"/>
      <c r="M56" s="9"/>
      <c r="N56" s="1"/>
      <c r="O56" s="1"/>
      <c r="P56" s="1"/>
    </row>
    <row r="57" spans="1:16" s="5" customFormat="1" ht="15.95" customHeight="1" x14ac:dyDescent="0.45">
      <c r="A57" s="1"/>
      <c r="B57" s="12"/>
      <c r="C57" s="57"/>
      <c r="D57" s="128" t="s">
        <v>194</v>
      </c>
      <c r="E57" s="128"/>
      <c r="F57" s="131"/>
      <c r="G57" s="131"/>
      <c r="H57" s="164" t="str">
        <f>Prisberegner!E120</f>
        <v>Tjent hjem fra start. 0</v>
      </c>
      <c r="I57" s="132" t="s">
        <v>27</v>
      </c>
      <c r="J57" s="131"/>
      <c r="K57" s="183"/>
      <c r="L57" s="183"/>
      <c r="M57" s="9"/>
      <c r="N57" s="1"/>
      <c r="O57" s="1"/>
      <c r="P57" s="1"/>
    </row>
    <row r="58" spans="1:16" s="5" customFormat="1" ht="15.95" customHeight="1" x14ac:dyDescent="0.45">
      <c r="A58" s="1"/>
      <c r="B58" s="12"/>
      <c r="C58" s="57"/>
      <c r="D58" s="129" t="str">
        <f>"-&gt; Med indregnet investering i ny gaskedel på "&amp;Prisberegner!E51&amp;" kr."</f>
        <v>-&gt; Med indregnet investering i ny gaskedel på 35000 kr.</v>
      </c>
      <c r="E58" s="128"/>
      <c r="F58" s="131"/>
      <c r="G58" s="131"/>
      <c r="H58" s="164" t="str">
        <f>Prisberegner!E121</f>
        <v>Tjent hjem fra start. 0</v>
      </c>
      <c r="I58" s="132" t="s">
        <v>27</v>
      </c>
      <c r="J58" s="131"/>
      <c r="K58" s="177"/>
      <c r="L58" s="177"/>
      <c r="M58" s="9"/>
      <c r="N58" s="1"/>
      <c r="O58" s="1"/>
      <c r="P58" s="1"/>
    </row>
    <row r="59" spans="1:16" s="5" customFormat="1" ht="15.95" customHeight="1" thickBot="1" x14ac:dyDescent="0.5">
      <c r="A59" s="1"/>
      <c r="B59" s="35"/>
      <c r="C59" s="89"/>
      <c r="D59" s="36"/>
      <c r="E59" s="36"/>
      <c r="F59" s="37"/>
      <c r="G59" s="36"/>
      <c r="H59" s="36"/>
      <c r="I59" s="90"/>
      <c r="J59" s="36"/>
      <c r="K59" s="89"/>
      <c r="L59" s="89"/>
      <c r="M59" s="38"/>
      <c r="N59" s="1"/>
      <c r="O59" s="1"/>
      <c r="P59" s="1"/>
    </row>
    <row r="60" spans="1:16" s="5" customFormat="1" ht="15.95" customHeight="1" x14ac:dyDescent="0.45">
      <c r="A60" s="1"/>
      <c r="B60" s="1"/>
      <c r="C60" s="57"/>
      <c r="D60" s="20"/>
      <c r="E60" s="1"/>
      <c r="F60" s="20"/>
      <c r="G60" s="1"/>
      <c r="H60" s="1"/>
      <c r="I60" s="63"/>
      <c r="J60" s="1"/>
      <c r="K60" s="57"/>
      <c r="L60" s="57"/>
      <c r="M60" s="1"/>
      <c r="N60" s="1"/>
      <c r="O60" s="1"/>
      <c r="P60" s="1"/>
    </row>
    <row r="61" spans="1:16" s="5" customFormat="1" ht="15.95" customHeight="1" x14ac:dyDescent="0.45">
      <c r="A61" s="1"/>
      <c r="B61" s="1"/>
      <c r="C61" s="57"/>
      <c r="D61" s="57"/>
      <c r="E61" s="57"/>
      <c r="F61" s="57"/>
      <c r="G61" s="57"/>
      <c r="H61" s="57"/>
      <c r="I61" s="57"/>
      <c r="J61" s="57"/>
      <c r="K61" s="57"/>
      <c r="L61" s="57"/>
      <c r="M61" s="1"/>
      <c r="N61" s="1"/>
      <c r="O61" s="1"/>
      <c r="P61" s="1"/>
    </row>
    <row r="62" spans="1:16" s="5" customFormat="1" ht="15.95" customHeight="1" x14ac:dyDescent="0.45">
      <c r="A62" s="1"/>
      <c r="B62" s="1"/>
      <c r="C62" s="57"/>
      <c r="D62" s="57"/>
      <c r="E62" s="57"/>
      <c r="F62" s="57"/>
      <c r="G62" s="57"/>
      <c r="H62" s="57"/>
      <c r="I62" s="57"/>
      <c r="J62" s="57"/>
      <c r="K62" s="57"/>
      <c r="L62" s="57"/>
      <c r="M62" s="1"/>
      <c r="N62" s="1"/>
      <c r="O62" s="1"/>
      <c r="P62" s="1"/>
    </row>
    <row r="63" spans="1:16" s="5" customFormat="1" ht="15.95" customHeight="1" x14ac:dyDescent="0.45">
      <c r="A63" s="1"/>
      <c r="B63" s="1"/>
      <c r="C63" s="57"/>
      <c r="D63" s="57"/>
      <c r="E63" s="57"/>
      <c r="F63" s="57"/>
      <c r="G63" s="57"/>
      <c r="H63" s="57"/>
      <c r="I63" s="57"/>
      <c r="J63" s="57"/>
      <c r="K63" s="57"/>
      <c r="L63" s="57"/>
      <c r="M63" s="1"/>
      <c r="N63" s="1"/>
      <c r="O63" s="1"/>
      <c r="P63" s="1"/>
    </row>
    <row r="64" spans="1:16" ht="15.75" x14ac:dyDescent="0.45">
      <c r="C64" s="57"/>
      <c r="D64" s="57"/>
      <c r="E64" s="57"/>
      <c r="F64" s="57"/>
      <c r="G64" s="57"/>
      <c r="H64" s="57"/>
      <c r="I64" s="57"/>
      <c r="J64" s="57"/>
      <c r="K64" s="57"/>
      <c r="L64" s="57"/>
    </row>
    <row r="65" spans="3:12" ht="15.75" x14ac:dyDescent="0.45">
      <c r="C65" s="57"/>
      <c r="D65" s="57"/>
      <c r="E65" s="57"/>
      <c r="F65" s="57"/>
      <c r="G65" s="57"/>
      <c r="H65" s="57"/>
      <c r="I65" s="57"/>
      <c r="J65" s="57"/>
      <c r="K65" s="57"/>
      <c r="L65" s="57"/>
    </row>
    <row r="66" spans="3:12" ht="15.75" x14ac:dyDescent="0.45">
      <c r="C66" s="57"/>
      <c r="D66" s="57"/>
      <c r="E66" s="57"/>
      <c r="F66" s="57"/>
      <c r="G66" s="57"/>
      <c r="H66" s="57"/>
      <c r="I66" s="57"/>
      <c r="J66" s="57"/>
      <c r="K66" s="57"/>
      <c r="L66" s="57"/>
    </row>
    <row r="67" spans="3:12" ht="15.75" x14ac:dyDescent="0.45">
      <c r="C67" s="57"/>
      <c r="D67" s="57"/>
      <c r="E67" s="57"/>
      <c r="F67" s="57"/>
      <c r="G67" s="57"/>
      <c r="H67" s="57"/>
      <c r="I67" s="57"/>
      <c r="J67" s="57"/>
      <c r="K67" s="57"/>
      <c r="L67" s="57"/>
    </row>
    <row r="68" spans="3:12" ht="15.75" x14ac:dyDescent="0.45">
      <c r="C68" s="57"/>
      <c r="D68" s="57"/>
      <c r="E68" s="57"/>
      <c r="F68" s="57"/>
      <c r="G68" s="57"/>
      <c r="H68" s="57"/>
      <c r="I68" s="57"/>
      <c r="J68" s="57"/>
      <c r="K68" s="57"/>
      <c r="L68" s="57"/>
    </row>
    <row r="69" spans="3:12" ht="15.75" x14ac:dyDescent="0.45">
      <c r="C69" s="57"/>
      <c r="D69" s="57"/>
      <c r="E69" s="57"/>
      <c r="F69" s="57"/>
      <c r="G69" s="57"/>
      <c r="H69" s="57"/>
      <c r="I69" s="57"/>
      <c r="J69" s="57"/>
      <c r="K69" s="57"/>
      <c r="L69" s="57"/>
    </row>
    <row r="70" spans="3:12" ht="15.75" x14ac:dyDescent="0.45">
      <c r="C70" s="57"/>
      <c r="D70" s="57"/>
      <c r="E70" s="57"/>
      <c r="F70" s="57"/>
      <c r="G70" s="57"/>
      <c r="H70" s="57"/>
      <c r="I70" s="57"/>
      <c r="J70" s="57"/>
      <c r="K70" s="57"/>
      <c r="L70" s="57"/>
    </row>
    <row r="71" spans="3:12" ht="15.75" x14ac:dyDescent="0.45">
      <c r="C71" s="57"/>
      <c r="D71" s="57"/>
      <c r="E71" s="57"/>
      <c r="F71" s="57"/>
      <c r="G71" s="57"/>
      <c r="H71" s="57"/>
      <c r="I71" s="57"/>
      <c r="J71" s="57"/>
      <c r="K71" s="57"/>
      <c r="L71" s="57"/>
    </row>
    <row r="72" spans="3:12" ht="15.75" x14ac:dyDescent="0.45">
      <c r="C72" s="57"/>
      <c r="E72" s="57"/>
      <c r="F72" s="57"/>
      <c r="G72" s="57"/>
      <c r="H72" s="57"/>
      <c r="I72" s="57"/>
      <c r="J72" s="57"/>
      <c r="K72" s="57"/>
      <c r="L72" s="57"/>
    </row>
    <row r="73" spans="3:12" ht="15.75" x14ac:dyDescent="0.45"/>
    <row r="74" spans="3:12" ht="15.75" x14ac:dyDescent="0.45"/>
    <row r="75" spans="3:12" ht="15.75" x14ac:dyDescent="0.45"/>
    <row r="76" spans="3:12" ht="15.75" x14ac:dyDescent="0.45"/>
    <row r="77" spans="3:12" ht="15.75" x14ac:dyDescent="0.45"/>
    <row r="78" spans="3:12" ht="15.75" x14ac:dyDescent="0.45">
      <c r="F78" s="63"/>
    </row>
    <row r="79" spans="3:12" ht="15.75" x14ac:dyDescent="0.45"/>
    <row r="80" spans="3:12" ht="15.75" x14ac:dyDescent="0.45"/>
    <row r="81" ht="15.75" x14ac:dyDescent="0.45"/>
    <row r="82" ht="15.75" x14ac:dyDescent="0.45"/>
    <row r="83" ht="15.75" x14ac:dyDescent="0.45"/>
    <row r="84" ht="15.75" x14ac:dyDescent="0.45"/>
    <row r="85" ht="15.75" x14ac:dyDescent="0.45"/>
    <row r="86" ht="15.75" x14ac:dyDescent="0.45"/>
    <row r="87" ht="15.75" x14ac:dyDescent="0.45"/>
    <row r="88" ht="15.75" x14ac:dyDescent="0.45"/>
    <row r="89" ht="15.75" x14ac:dyDescent="0.45"/>
    <row r="90" ht="15.75" x14ac:dyDescent="0.45"/>
    <row r="91" ht="15.75" x14ac:dyDescent="0.45"/>
    <row r="92" ht="15.75" x14ac:dyDescent="0.45"/>
    <row r="93" ht="15.75" x14ac:dyDescent="0.45"/>
    <row r="94" ht="15.75" x14ac:dyDescent="0.45"/>
    <row r="95" ht="15.75" x14ac:dyDescent="0.45"/>
    <row r="96" ht="15.75" x14ac:dyDescent="0.45"/>
    <row r="97" ht="15.75" x14ac:dyDescent="0.45"/>
    <row r="98" ht="15.75" x14ac:dyDescent="0.45"/>
    <row r="99" ht="15.75" x14ac:dyDescent="0.45"/>
    <row r="100" ht="15.75" x14ac:dyDescent="0.45"/>
    <row r="101" ht="15.75" x14ac:dyDescent="0.45"/>
    <row r="102" ht="15.75" x14ac:dyDescent="0.45"/>
    <row r="103" ht="15.75" x14ac:dyDescent="0.45"/>
    <row r="104" ht="15.75" x14ac:dyDescent="0.45"/>
    <row r="105" ht="15.75" x14ac:dyDescent="0.45"/>
    <row r="106" ht="15.75" x14ac:dyDescent="0.45"/>
    <row r="107" ht="15.75" x14ac:dyDescent="0.45"/>
    <row r="108" ht="15.75" x14ac:dyDescent="0.45"/>
    <row r="109" ht="15.75" x14ac:dyDescent="0.45"/>
    <row r="110" ht="15.75" x14ac:dyDescent="0.45"/>
    <row r="111" ht="15.75" x14ac:dyDescent="0.45"/>
    <row r="112" ht="15.75" x14ac:dyDescent="0.45"/>
    <row r="113" ht="15.75" x14ac:dyDescent="0.45"/>
    <row r="114" ht="15.75" x14ac:dyDescent="0.45"/>
    <row r="115" ht="15.75" x14ac:dyDescent="0.45"/>
    <row r="116" ht="15.75" x14ac:dyDescent="0.45"/>
    <row r="117" ht="15.75" x14ac:dyDescent="0.45"/>
    <row r="118" ht="15.75" x14ac:dyDescent="0.45"/>
    <row r="119" ht="15.75" x14ac:dyDescent="0.45"/>
    <row r="120" ht="15.75" x14ac:dyDescent="0.45"/>
    <row r="121" ht="15.75" x14ac:dyDescent="0.45"/>
    <row r="122" ht="15.75" x14ac:dyDescent="0.45"/>
    <row r="123" ht="15.75" x14ac:dyDescent="0.45"/>
    <row r="124" ht="15.75" x14ac:dyDescent="0.45"/>
    <row r="125" ht="15.75" x14ac:dyDescent="0.45"/>
    <row r="126" ht="15.75" x14ac:dyDescent="0.45"/>
    <row r="127" ht="15.75" x14ac:dyDescent="0.45"/>
    <row r="128" ht="15.75" x14ac:dyDescent="0.45"/>
    <row r="129" ht="15.75" x14ac:dyDescent="0.45"/>
    <row r="130" ht="15.75" x14ac:dyDescent="0.45"/>
    <row r="131" ht="15.75" x14ac:dyDescent="0.45"/>
    <row r="132" ht="15.75" x14ac:dyDescent="0.45"/>
    <row r="133" ht="15.75" x14ac:dyDescent="0.45"/>
    <row r="134" ht="15.75" x14ac:dyDescent="0.45"/>
    <row r="135" ht="15.75" x14ac:dyDescent="0.45"/>
    <row r="136" ht="15.75" x14ac:dyDescent="0.45"/>
    <row r="137" ht="15.75" x14ac:dyDescent="0.45"/>
    <row r="138" ht="15.75" x14ac:dyDescent="0.45"/>
    <row r="139" ht="15.75" x14ac:dyDescent="0.45"/>
    <row r="140" ht="15.75" x14ac:dyDescent="0.45"/>
    <row r="141" ht="15.75" x14ac:dyDescent="0.45"/>
    <row r="142" ht="15.75" x14ac:dyDescent="0.45"/>
    <row r="143" ht="15.75" x14ac:dyDescent="0.45"/>
    <row r="144" ht="15.75" x14ac:dyDescent="0.45"/>
    <row r="145" ht="15.75" x14ac:dyDescent="0.45"/>
    <row r="146" ht="15.75" x14ac:dyDescent="0.45"/>
    <row r="147" ht="15.75" x14ac:dyDescent="0.45"/>
    <row r="148" ht="15.75" x14ac:dyDescent="0.45"/>
    <row r="149" ht="15.75" x14ac:dyDescent="0.45"/>
    <row r="150" ht="15.75" x14ac:dyDescent="0.45"/>
    <row r="151" ht="15.75" x14ac:dyDescent="0.45"/>
    <row r="152" ht="15.75" x14ac:dyDescent="0.45"/>
    <row r="153" ht="15.75" x14ac:dyDescent="0.45"/>
    <row r="154" ht="15.75" x14ac:dyDescent="0.45"/>
    <row r="155" ht="15.75" x14ac:dyDescent="0.45"/>
    <row r="156" ht="15.75" x14ac:dyDescent="0.45"/>
    <row r="157" ht="15.75" x14ac:dyDescent="0.45"/>
    <row r="158" ht="15.75" x14ac:dyDescent="0.45"/>
    <row r="159" ht="15.75" x14ac:dyDescent="0.45"/>
    <row r="160" ht="15.75" x14ac:dyDescent="0.45"/>
    <row r="161" ht="15.75" x14ac:dyDescent="0.45"/>
    <row r="162" ht="15.75" x14ac:dyDescent="0.45"/>
    <row r="163" ht="15.75" x14ac:dyDescent="0.45"/>
    <row r="164" ht="15.75" x14ac:dyDescent="0.45"/>
    <row r="165" ht="15.75" x14ac:dyDescent="0.45"/>
    <row r="166" ht="15.75" x14ac:dyDescent="0.45"/>
    <row r="167" ht="15.75" x14ac:dyDescent="0.45"/>
    <row r="168" ht="15.75" x14ac:dyDescent="0.45"/>
    <row r="169" ht="15.75" x14ac:dyDescent="0.45"/>
    <row r="170" ht="15.75" x14ac:dyDescent="0.45"/>
    <row r="171" ht="15.75" x14ac:dyDescent="0.45"/>
    <row r="172" ht="15.75" x14ac:dyDescent="0.45"/>
    <row r="173" ht="15.75" x14ac:dyDescent="0.45"/>
    <row r="174" ht="15.75" x14ac:dyDescent="0.45"/>
    <row r="175" ht="15.75" x14ac:dyDescent="0.45"/>
    <row r="176" ht="15.75" x14ac:dyDescent="0.45"/>
    <row r="177" ht="15.75" x14ac:dyDescent="0.45"/>
    <row r="178" ht="15.75" x14ac:dyDescent="0.45"/>
    <row r="179" ht="15.75" x14ac:dyDescent="0.45"/>
    <row r="180" ht="15.75" x14ac:dyDescent="0.45"/>
    <row r="181" ht="15.75" x14ac:dyDescent="0.45"/>
    <row r="182" ht="15.75" x14ac:dyDescent="0.45"/>
    <row r="183" ht="15.75" x14ac:dyDescent="0.45"/>
    <row r="184" ht="15.75" x14ac:dyDescent="0.45"/>
    <row r="185" ht="15.75" x14ac:dyDescent="0.45"/>
    <row r="186" ht="15.75" x14ac:dyDescent="0.45"/>
    <row r="187" ht="15.75" x14ac:dyDescent="0.45"/>
    <row r="188" ht="15.75" x14ac:dyDescent="0.45"/>
    <row r="189" ht="15.75" x14ac:dyDescent="0.45"/>
    <row r="190" ht="15.75" x14ac:dyDescent="0.45"/>
    <row r="191" ht="15.75" x14ac:dyDescent="0.45"/>
    <row r="192" ht="15.75" x14ac:dyDescent="0.45"/>
    <row r="193" ht="15.75" x14ac:dyDescent="0.45"/>
    <row r="194" ht="15.75" x14ac:dyDescent="0.45"/>
    <row r="195" ht="15.75" x14ac:dyDescent="0.45"/>
    <row r="196" ht="15.75" x14ac:dyDescent="0.45"/>
    <row r="197" ht="15.75" x14ac:dyDescent="0.45"/>
    <row r="198" ht="15.75" x14ac:dyDescent="0.45"/>
    <row r="199" ht="15.75" x14ac:dyDescent="0.45"/>
    <row r="200" ht="15.75" x14ac:dyDescent="0.45"/>
    <row r="201" ht="15.75" x14ac:dyDescent="0.45"/>
    <row r="202" ht="15.75" x14ac:dyDescent="0.45"/>
    <row r="203" ht="15.75" x14ac:dyDescent="0.45"/>
    <row r="204" ht="15.75" x14ac:dyDescent="0.45"/>
    <row r="205" ht="15.75" x14ac:dyDescent="0.45"/>
    <row r="206" ht="15.75" x14ac:dyDescent="0.4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4BE7FD-07C6-43E7-8D11-E72620AFAFDE}">
          <x14:formula1>
            <xm:f>Oplysninger!$B$261:$B$262</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opLeftCell="A63" zoomScale="140" zoomScaleNormal="140" zoomScaleSheetLayoutView="70" zoomScalePageLayoutView="70" workbookViewId="0">
      <selection activeCell="E72" sqref="E72"/>
    </sheetView>
  </sheetViews>
  <sheetFormatPr defaultColWidth="0" defaultRowHeight="15.75" zeroHeight="1" x14ac:dyDescent="0.45"/>
  <cols>
    <col min="1" max="1" width="2.265625" style="1" customWidth="1"/>
    <col min="2" max="2" width="1.59765625" style="1" customWidth="1"/>
    <col min="3" max="3" width="39.86328125" style="1" customWidth="1"/>
    <col min="4" max="4" width="11.3984375" style="1" customWidth="1"/>
    <col min="5" max="5" width="10.73046875" style="1" customWidth="1"/>
    <col min="6" max="6" width="14" style="1" customWidth="1"/>
    <col min="7" max="7" width="0.86328125" style="1" customWidth="1"/>
    <col min="8" max="8" width="15.86328125" style="1" customWidth="1"/>
    <col min="9" max="9" width="14.86328125" style="1" customWidth="1"/>
    <col min="10" max="10" width="17.73046875" style="1" customWidth="1"/>
    <col min="11" max="11" width="9.1328125" style="1" customWidth="1"/>
    <col min="12" max="14" width="9.1328125" style="1" hidden="1" customWidth="1"/>
    <col min="15" max="16384" width="9.1328125" style="1" hidden="1"/>
  </cols>
  <sheetData>
    <row r="1" spans="1:15" ht="16.149999999999999" thickBot="1" x14ac:dyDescent="0.5"/>
    <row r="2" spans="1:15" s="5" customFormat="1" ht="37.5" customHeight="1" x14ac:dyDescent="0.45">
      <c r="A2" s="1"/>
      <c r="B2" s="2"/>
      <c r="C2" s="3"/>
      <c r="D2" s="3"/>
      <c r="E2" s="3"/>
      <c r="F2" s="3"/>
      <c r="G2" s="3"/>
      <c r="H2" s="3"/>
      <c r="I2" s="3"/>
      <c r="J2" s="4"/>
      <c r="K2" s="1"/>
      <c r="L2" s="1"/>
      <c r="M2" s="1"/>
    </row>
    <row r="3" spans="1:15" s="5" customFormat="1" ht="38.25" customHeight="1" thickBot="1" x14ac:dyDescent="0.5">
      <c r="A3" s="1"/>
      <c r="B3" s="35"/>
      <c r="C3" s="185"/>
      <c r="D3" s="185"/>
      <c r="E3" s="185"/>
      <c r="F3" s="185"/>
      <c r="G3" s="185"/>
      <c r="H3" s="185"/>
      <c r="I3" s="185"/>
      <c r="J3" s="38"/>
      <c r="K3" s="1"/>
      <c r="L3" s="1"/>
      <c r="M3" s="1"/>
    </row>
    <row r="4" spans="1:15" s="5" customFormat="1" ht="15.95" customHeight="1" x14ac:dyDescent="0.45">
      <c r="A4" s="1"/>
      <c r="B4" s="2"/>
      <c r="C4" s="196" t="str">
        <f>Resultater!C4</f>
        <v>Vejen Varmeværk a.m.b.a.</v>
      </c>
      <c r="D4" s="196"/>
      <c r="E4" s="196"/>
      <c r="F4" s="196"/>
      <c r="G4" s="196"/>
      <c r="H4" s="196"/>
      <c r="I4" s="196"/>
      <c r="J4" s="45"/>
      <c r="K4" s="1"/>
      <c r="L4" s="45"/>
      <c r="M4" s="1"/>
      <c r="N4" s="1"/>
      <c r="O4" s="1"/>
    </row>
    <row r="5" spans="1:15" s="5" customFormat="1" ht="19.5" customHeight="1" thickBot="1" x14ac:dyDescent="0.5">
      <c r="A5" s="1"/>
      <c r="B5" s="35"/>
      <c r="C5" s="197"/>
      <c r="D5" s="197"/>
      <c r="E5" s="197"/>
      <c r="F5" s="197"/>
      <c r="G5" s="197"/>
      <c r="H5" s="197"/>
      <c r="I5" s="197"/>
      <c r="J5" s="65"/>
      <c r="K5" s="46"/>
      <c r="L5" s="7"/>
      <c r="M5" s="1"/>
      <c r="N5" s="1"/>
      <c r="O5" s="1"/>
    </row>
    <row r="6" spans="1:15" s="5" customFormat="1" ht="15" customHeight="1" x14ac:dyDescent="0.45">
      <c r="A6" s="1"/>
      <c r="B6" s="2"/>
      <c r="C6" s="80"/>
      <c r="D6" s="80"/>
      <c r="E6" s="80"/>
      <c r="F6" s="80"/>
      <c r="G6" s="80"/>
      <c r="H6" s="80"/>
      <c r="I6" s="80"/>
      <c r="J6" s="66"/>
      <c r="K6" s="46"/>
      <c r="L6" s="46"/>
      <c r="M6" s="1"/>
      <c r="N6" s="1"/>
      <c r="O6" s="1"/>
    </row>
    <row r="7" spans="1:15" s="5" customFormat="1" ht="15.95" customHeight="1" x14ac:dyDescent="0.45">
      <c r="A7" s="1"/>
      <c r="B7" s="12"/>
      <c r="C7" s="44" t="s">
        <v>35</v>
      </c>
      <c r="D7" s="8"/>
      <c r="E7" s="1"/>
      <c r="F7" s="8"/>
      <c r="G7" s="8"/>
      <c r="H7" s="1"/>
      <c r="I7" s="1"/>
      <c r="J7" s="9"/>
      <c r="K7" s="1"/>
      <c r="L7" s="1"/>
      <c r="M7" s="1"/>
    </row>
    <row r="8" spans="1:15" s="5" customFormat="1" ht="15.95" customHeight="1" x14ac:dyDescent="0.45">
      <c r="A8" s="1"/>
      <c r="B8" s="12"/>
      <c r="C8" s="188" t="s">
        <v>57</v>
      </c>
      <c r="D8" s="188"/>
      <c r="E8" s="188"/>
      <c r="F8" s="188"/>
      <c r="G8" s="188"/>
      <c r="H8" s="188"/>
      <c r="I8" s="188"/>
      <c r="J8" s="195"/>
      <c r="K8" s="69"/>
      <c r="L8" s="1"/>
      <c r="M8" s="1"/>
    </row>
    <row r="9" spans="1:15" s="5" customFormat="1" ht="15.95" customHeight="1" x14ac:dyDescent="0.45">
      <c r="A9" s="1"/>
      <c r="B9" s="12"/>
      <c r="C9" s="70" t="s">
        <v>61</v>
      </c>
      <c r="D9" s="71"/>
      <c r="E9" s="18"/>
      <c r="F9" s="71"/>
      <c r="G9" s="8"/>
      <c r="I9" s="1"/>
      <c r="J9" s="9"/>
      <c r="K9" s="1"/>
      <c r="L9" s="1"/>
      <c r="M9" s="1"/>
    </row>
    <row r="10" spans="1:15" s="5" customFormat="1" ht="15.95" customHeight="1" x14ac:dyDescent="0.45">
      <c r="A10" s="1"/>
      <c r="B10" s="12"/>
      <c r="C10" s="87" t="s">
        <v>100</v>
      </c>
      <c r="D10" s="86"/>
      <c r="E10" s="83"/>
      <c r="F10" s="86"/>
      <c r="G10" s="8"/>
      <c r="H10" s="1"/>
      <c r="I10" s="1"/>
      <c r="J10" s="9"/>
      <c r="K10" s="1"/>
      <c r="L10" s="1"/>
      <c r="M10" s="1"/>
    </row>
    <row r="11" spans="1:15" s="5" customFormat="1" ht="15.95" customHeight="1" x14ac:dyDescent="0.45">
      <c r="A11" s="1"/>
      <c r="B11" s="14"/>
      <c r="C11" s="56"/>
      <c r="D11" s="64"/>
      <c r="E11" s="15"/>
      <c r="F11" s="64"/>
      <c r="G11" s="64"/>
      <c r="H11" s="15"/>
      <c r="I11" s="15"/>
      <c r="J11" s="6"/>
      <c r="K11" s="1"/>
      <c r="L11" s="1"/>
      <c r="M11" s="1"/>
    </row>
    <row r="12" spans="1:15" s="5" customFormat="1" ht="15.95" customHeight="1" x14ac:dyDescent="0.45">
      <c r="A12" s="1"/>
      <c r="B12" s="12"/>
      <c r="C12" s="8"/>
      <c r="D12" s="8"/>
      <c r="E12" s="1"/>
      <c r="F12" s="8"/>
      <c r="G12" s="8"/>
      <c r="H12" s="1"/>
      <c r="I12" s="1"/>
      <c r="J12" s="9"/>
      <c r="K12" s="1"/>
      <c r="L12" s="1"/>
      <c r="M12" s="1"/>
    </row>
    <row r="13" spans="1:15" s="5" customFormat="1" ht="15.95" customHeight="1" x14ac:dyDescent="0.45">
      <c r="A13" s="1"/>
      <c r="B13" s="12"/>
      <c r="C13" s="10" t="s">
        <v>9</v>
      </c>
      <c r="D13" s="10"/>
      <c r="E13" s="1"/>
      <c r="F13" s="1"/>
      <c r="G13" s="1"/>
      <c r="H13" s="11"/>
      <c r="I13" s="1"/>
      <c r="J13" s="9"/>
      <c r="K13" s="1"/>
      <c r="L13" s="1"/>
      <c r="M13" s="1"/>
    </row>
    <row r="14" spans="1:15" s="5" customFormat="1" ht="15.95" customHeight="1" x14ac:dyDescent="0.45">
      <c r="A14" s="1"/>
      <c r="B14" s="12"/>
      <c r="C14" s="1" t="s">
        <v>10</v>
      </c>
      <c r="D14" s="198"/>
      <c r="E14" s="198"/>
      <c r="F14" s="198"/>
      <c r="G14" s="13"/>
      <c r="H14" s="11"/>
      <c r="I14" s="1"/>
      <c r="J14" s="9"/>
      <c r="K14" s="1"/>
      <c r="L14" s="1"/>
      <c r="M14" s="1"/>
    </row>
    <row r="15" spans="1:15" s="5" customFormat="1" ht="15.95" customHeight="1" x14ac:dyDescent="0.45">
      <c r="A15" s="1"/>
      <c r="B15" s="12"/>
      <c r="C15" s="1" t="s">
        <v>5</v>
      </c>
      <c r="D15" s="198"/>
      <c r="E15" s="198"/>
      <c r="F15" s="198"/>
      <c r="G15" s="13"/>
      <c r="H15" s="11"/>
      <c r="I15" s="1"/>
      <c r="J15" s="9"/>
      <c r="K15" s="1"/>
      <c r="L15" s="1"/>
      <c r="M15" s="1"/>
    </row>
    <row r="16" spans="1:15" s="5" customFormat="1" ht="15.95" customHeight="1" x14ac:dyDescent="0.45">
      <c r="A16" s="1"/>
      <c r="B16" s="12"/>
      <c r="C16" s="1" t="s">
        <v>6</v>
      </c>
      <c r="D16" s="198"/>
      <c r="E16" s="198"/>
      <c r="F16" s="198"/>
      <c r="G16" s="13"/>
      <c r="H16" s="11"/>
      <c r="I16" s="1"/>
      <c r="J16" s="9"/>
      <c r="K16" s="1"/>
      <c r="L16" s="1"/>
      <c r="M16" s="1"/>
    </row>
    <row r="17" spans="1:13" s="5" customFormat="1" ht="15.95" customHeight="1" x14ac:dyDescent="0.45">
      <c r="A17" s="1"/>
      <c r="B17" s="12"/>
      <c r="C17" s="1" t="s">
        <v>11</v>
      </c>
      <c r="D17" s="198"/>
      <c r="E17" s="198"/>
      <c r="F17" s="198"/>
      <c r="G17" s="13"/>
      <c r="H17" s="11"/>
      <c r="I17" s="1"/>
      <c r="J17" s="9"/>
      <c r="K17" s="1"/>
      <c r="L17" s="1"/>
      <c r="M17" s="1"/>
    </row>
    <row r="18" spans="1:13" s="5" customFormat="1" ht="15.95" customHeight="1" x14ac:dyDescent="0.45">
      <c r="A18" s="1"/>
      <c r="B18" s="14"/>
      <c r="C18" s="15"/>
      <c r="D18" s="15"/>
      <c r="E18" s="15"/>
      <c r="F18" s="15"/>
      <c r="G18" s="15"/>
      <c r="H18" s="16"/>
      <c r="I18" s="15"/>
      <c r="J18" s="6"/>
      <c r="K18" s="1"/>
      <c r="L18" s="1"/>
      <c r="M18" s="1"/>
    </row>
    <row r="19" spans="1:13" s="5" customFormat="1" ht="15.95" customHeight="1" x14ac:dyDescent="0.45">
      <c r="A19" s="1"/>
      <c r="B19" s="12"/>
      <c r="C19" s="8"/>
      <c r="D19" s="8"/>
      <c r="E19" s="20"/>
      <c r="F19" s="1"/>
      <c r="G19" s="1"/>
      <c r="H19" s="11"/>
      <c r="I19" s="1"/>
      <c r="J19" s="9"/>
      <c r="K19" s="1"/>
      <c r="L19" s="1"/>
      <c r="M19" s="1"/>
    </row>
    <row r="20" spans="1:13" s="5" customFormat="1" ht="15.95" customHeight="1" x14ac:dyDescent="0.45">
      <c r="A20" s="1"/>
      <c r="B20" s="12"/>
      <c r="C20" s="8" t="s">
        <v>165</v>
      </c>
      <c r="D20" s="8"/>
      <c r="E20" s="20"/>
      <c r="F20" s="1"/>
      <c r="G20" s="1"/>
      <c r="H20" s="11"/>
      <c r="I20" s="1"/>
      <c r="J20" s="9"/>
      <c r="K20" s="1"/>
      <c r="L20" s="1"/>
      <c r="M20" s="1"/>
    </row>
    <row r="21" spans="1:13" s="5" customFormat="1" ht="15.95" customHeight="1" x14ac:dyDescent="0.45">
      <c r="A21" s="1"/>
      <c r="B21" s="12"/>
      <c r="C21" s="8"/>
      <c r="D21" s="8"/>
      <c r="E21" s="20"/>
      <c r="F21" s="1"/>
      <c r="G21" s="1"/>
      <c r="H21" s="11"/>
      <c r="I21" s="1"/>
      <c r="J21" s="9"/>
      <c r="K21" s="1"/>
      <c r="L21" s="1"/>
      <c r="M21" s="1"/>
    </row>
    <row r="22" spans="1:13" s="5" customFormat="1" ht="15.95" customHeight="1" x14ac:dyDescent="0.45">
      <c r="A22" s="1"/>
      <c r="B22" s="12"/>
      <c r="C22" s="1" t="s">
        <v>161</v>
      </c>
      <c r="D22" s="1"/>
      <c r="E22" s="17">
        <v>161</v>
      </c>
      <c r="F22" s="1" t="s">
        <v>12</v>
      </c>
      <c r="G22" s="1"/>
      <c r="H22" s="21" t="s">
        <v>142</v>
      </c>
      <c r="I22" s="1"/>
      <c r="J22" s="9"/>
      <c r="K22" s="1"/>
      <c r="L22" s="1"/>
      <c r="M22" s="1"/>
    </row>
    <row r="23" spans="1:13" s="5" customFormat="1" ht="15.95" customHeight="1" x14ac:dyDescent="0.45">
      <c r="A23" s="1"/>
      <c r="B23" s="12"/>
      <c r="C23" s="1" t="s">
        <v>143</v>
      </c>
      <c r="D23" s="1"/>
      <c r="E23" s="17">
        <v>1600</v>
      </c>
      <c r="F23" s="1" t="s">
        <v>149</v>
      </c>
      <c r="G23" s="1"/>
      <c r="H23" s="135" t="s">
        <v>156</v>
      </c>
      <c r="I23" s="1"/>
      <c r="J23" s="9"/>
      <c r="K23" s="1"/>
      <c r="L23" s="1"/>
      <c r="M23" s="1"/>
    </row>
    <row r="24" spans="1:13" s="5" customFormat="1" ht="15.95" customHeight="1" x14ac:dyDescent="0.45">
      <c r="A24" s="1"/>
      <c r="B24" s="12"/>
      <c r="C24" s="1"/>
      <c r="D24" s="1"/>
      <c r="E24" s="103"/>
      <c r="F24" s="1"/>
      <c r="G24" s="1"/>
      <c r="H24" s="21" t="s">
        <v>157</v>
      </c>
      <c r="I24" s="1"/>
      <c r="J24" s="9"/>
      <c r="K24" s="1"/>
      <c r="L24" s="1"/>
      <c r="M24" s="1"/>
    </row>
    <row r="25" spans="1:13" s="5" customFormat="1" ht="15.95" customHeight="1" x14ac:dyDescent="0.45">
      <c r="A25" s="1"/>
      <c r="B25" s="12"/>
      <c r="C25" s="1" t="s">
        <v>152</v>
      </c>
      <c r="D25" s="8"/>
      <c r="E25" s="20"/>
      <c r="F25" s="1"/>
      <c r="G25" s="1"/>
      <c r="H25" s="11"/>
      <c r="I25" s="1"/>
      <c r="J25" s="9"/>
      <c r="K25" s="1"/>
      <c r="L25" s="1"/>
      <c r="M25" s="1"/>
    </row>
    <row r="26" spans="1:13" s="5" customFormat="1" ht="15.95" customHeight="1" x14ac:dyDescent="0.45">
      <c r="A26" s="1"/>
      <c r="B26" s="12"/>
      <c r="C26" s="1" t="s">
        <v>21</v>
      </c>
      <c r="D26" s="1"/>
      <c r="E26" s="26">
        <f>Oplysninger!C250</f>
        <v>2957</v>
      </c>
      <c r="F26" s="1"/>
      <c r="G26" s="1"/>
      <c r="H26" s="25" t="s">
        <v>158</v>
      </c>
      <c r="I26" s="1"/>
      <c r="J26" s="9"/>
      <c r="K26" s="1"/>
      <c r="L26" s="1"/>
      <c r="M26" s="1"/>
    </row>
    <row r="27" spans="1:13" s="5" customFormat="1" ht="15.95" customHeight="1" x14ac:dyDescent="0.45">
      <c r="A27" s="1"/>
      <c r="B27" s="12"/>
      <c r="C27" s="1" t="s">
        <v>151</v>
      </c>
      <c r="D27" s="1"/>
      <c r="E27" s="84">
        <v>2021</v>
      </c>
      <c r="G27" s="127"/>
      <c r="H27" s="22" t="s">
        <v>59</v>
      </c>
      <c r="I27" s="1"/>
      <c r="J27" s="9"/>
      <c r="K27" s="1"/>
      <c r="L27" s="1"/>
      <c r="M27" s="1"/>
    </row>
    <row r="28" spans="1:13" s="5" customFormat="1" ht="15.95" customHeight="1" x14ac:dyDescent="0.45">
      <c r="A28" s="1"/>
      <c r="B28" s="12"/>
      <c r="C28" s="1" t="s">
        <v>20</v>
      </c>
      <c r="D28" s="1"/>
      <c r="E28" s="20">
        <f>VLOOKUP(E27,Oplysninger!B240:C248,2,FALSE)</f>
        <v>3098.4</v>
      </c>
      <c r="F28" s="1"/>
      <c r="G28" s="1"/>
      <c r="H28" s="11"/>
      <c r="I28" s="1"/>
      <c r="J28" s="9"/>
      <c r="K28" s="1"/>
      <c r="L28" s="1"/>
      <c r="M28" s="1"/>
    </row>
    <row r="29" spans="1:13" s="5" customFormat="1" ht="15.95" customHeight="1" x14ac:dyDescent="0.45">
      <c r="A29" s="1"/>
      <c r="B29" s="12"/>
      <c r="C29" s="1" t="s">
        <v>34</v>
      </c>
      <c r="D29" s="1"/>
      <c r="E29" s="39">
        <v>0.7</v>
      </c>
      <c r="F29" s="1"/>
      <c r="G29" s="1"/>
      <c r="H29" s="25" t="s">
        <v>93</v>
      </c>
      <c r="I29" s="1"/>
      <c r="J29" s="9"/>
      <c r="K29" s="1"/>
      <c r="L29" s="1"/>
      <c r="M29" s="1"/>
    </row>
    <row r="30" spans="1:13" s="5" customFormat="1" ht="15.95" customHeight="1" x14ac:dyDescent="0.45">
      <c r="A30" s="1"/>
      <c r="B30" s="12"/>
      <c r="C30" s="1"/>
      <c r="D30" s="1"/>
      <c r="E30" s="104"/>
      <c r="F30" s="1"/>
      <c r="G30" s="1"/>
      <c r="H30" s="25"/>
      <c r="I30" s="1"/>
      <c r="J30" s="9"/>
      <c r="K30" s="1"/>
      <c r="L30" s="1"/>
      <c r="M30" s="1"/>
    </row>
    <row r="31" spans="1:13" s="5" customFormat="1" ht="15.95" customHeight="1" x14ac:dyDescent="0.45">
      <c r="A31" s="1"/>
      <c r="B31" s="12"/>
      <c r="C31" s="1" t="s">
        <v>153</v>
      </c>
      <c r="D31" s="1"/>
      <c r="E31" s="26">
        <f>(E23*E29)*(E26/E28)+(E23*(1-E29))</f>
        <v>1548.887167570359</v>
      </c>
      <c r="F31" s="1" t="s">
        <v>155</v>
      </c>
      <c r="G31" s="1"/>
      <c r="H31" s="25"/>
      <c r="I31" s="1"/>
      <c r="J31" s="9"/>
      <c r="K31" s="1"/>
      <c r="L31" s="1"/>
      <c r="M31" s="1"/>
    </row>
    <row r="32" spans="1:13" s="5" customFormat="1" ht="15.95" customHeight="1" x14ac:dyDescent="0.45">
      <c r="A32" s="1"/>
      <c r="B32" s="12"/>
      <c r="C32" s="1"/>
      <c r="D32" s="1"/>
      <c r="E32" s="105"/>
      <c r="F32" s="1"/>
      <c r="G32" s="1"/>
      <c r="H32" s="25"/>
      <c r="I32" s="1"/>
      <c r="J32" s="9"/>
      <c r="K32" s="1"/>
      <c r="L32" s="1"/>
      <c r="M32" s="1"/>
    </row>
    <row r="33" spans="1:13" s="5" customFormat="1" ht="15.95" customHeight="1" x14ac:dyDescent="0.45">
      <c r="A33" s="1"/>
      <c r="B33" s="12"/>
      <c r="C33" s="1" t="s">
        <v>144</v>
      </c>
      <c r="D33" s="1"/>
      <c r="E33" s="110">
        <v>11.02</v>
      </c>
      <c r="F33" s="1" t="s">
        <v>147</v>
      </c>
      <c r="G33" s="1"/>
      <c r="H33" s="21" t="s">
        <v>148</v>
      </c>
      <c r="I33" s="1"/>
      <c r="J33" s="9"/>
      <c r="K33" s="1"/>
      <c r="L33" s="1"/>
      <c r="M33" s="1"/>
    </row>
    <row r="34" spans="1:13" s="5" customFormat="1" ht="15.95" customHeight="1" x14ac:dyDescent="0.45">
      <c r="A34" s="1"/>
      <c r="B34" s="12"/>
      <c r="C34" s="1" t="s">
        <v>145</v>
      </c>
      <c r="D34" s="1"/>
      <c r="E34" s="39">
        <v>80</v>
      </c>
      <c r="F34" s="1" t="s">
        <v>76</v>
      </c>
      <c r="G34" s="1"/>
      <c r="H34" s="21" t="s">
        <v>159</v>
      </c>
      <c r="I34" s="1"/>
      <c r="J34" s="9"/>
      <c r="K34" s="1"/>
      <c r="L34" s="1"/>
      <c r="M34" s="1"/>
    </row>
    <row r="35" spans="1:13" s="5" customFormat="1" ht="15.95" customHeight="1" x14ac:dyDescent="0.45">
      <c r="A35" s="1"/>
      <c r="B35" s="12"/>
      <c r="C35" s="1" t="s">
        <v>146</v>
      </c>
      <c r="D35" s="1"/>
      <c r="E35" s="40">
        <v>9</v>
      </c>
      <c r="F35" s="1" t="s">
        <v>154</v>
      </c>
      <c r="G35" s="1"/>
      <c r="H35" s="21" t="s">
        <v>160</v>
      </c>
      <c r="I35" s="1"/>
      <c r="J35" s="9"/>
      <c r="K35" s="1"/>
      <c r="L35" s="1"/>
      <c r="M35" s="1"/>
    </row>
    <row r="36" spans="1:13" s="5" customFormat="1" ht="15.95" customHeight="1" x14ac:dyDescent="0.45">
      <c r="A36" s="1"/>
      <c r="B36" s="12"/>
      <c r="C36" s="1" t="s">
        <v>214</v>
      </c>
      <c r="D36" s="1"/>
      <c r="E36" s="24">
        <v>25</v>
      </c>
      <c r="F36" s="1" t="s">
        <v>215</v>
      </c>
      <c r="G36" s="1"/>
      <c r="H36" s="21" t="s">
        <v>217</v>
      </c>
      <c r="I36" s="1"/>
      <c r="J36" s="9"/>
      <c r="K36" s="1"/>
      <c r="L36" s="1"/>
      <c r="M36" s="1"/>
    </row>
    <row r="37" spans="1:13" s="5" customFormat="1" ht="15.95" customHeight="1" x14ac:dyDescent="0.45">
      <c r="A37" s="1"/>
      <c r="B37" s="12"/>
      <c r="C37" s="1"/>
      <c r="D37" s="1"/>
      <c r="E37" s="20"/>
      <c r="F37" s="1"/>
      <c r="G37" s="1"/>
      <c r="H37" s="21"/>
      <c r="I37" s="1"/>
      <c r="J37" s="9"/>
      <c r="K37" s="1"/>
      <c r="L37" s="1"/>
      <c r="M37" s="1"/>
    </row>
    <row r="38" spans="1:13" s="5" customFormat="1" ht="15.75" customHeight="1" x14ac:dyDescent="0.45">
      <c r="A38" s="1"/>
      <c r="B38" s="12"/>
      <c r="C38" s="1" t="s">
        <v>87</v>
      </c>
      <c r="D38" s="1"/>
      <c r="E38" s="20">
        <f>(E31*E33)*(E34/100)</f>
        <v>13654.989269300286</v>
      </c>
      <c r="F38" s="1" t="s">
        <v>162</v>
      </c>
      <c r="G38" s="1"/>
      <c r="H38" s="21" t="s">
        <v>88</v>
      </c>
      <c r="I38" s="1"/>
      <c r="J38" s="9"/>
      <c r="K38" s="1"/>
      <c r="L38" s="1"/>
      <c r="M38" s="1"/>
    </row>
    <row r="39" spans="1:13" s="5" customFormat="1" ht="15.95" customHeight="1" x14ac:dyDescent="0.45">
      <c r="A39" s="1"/>
      <c r="B39" s="12"/>
      <c r="C39" s="25"/>
      <c r="D39" s="1"/>
      <c r="E39" s="20"/>
      <c r="F39" s="1"/>
      <c r="G39" s="1"/>
      <c r="H39" s="102"/>
      <c r="I39" s="1"/>
      <c r="J39" s="9"/>
      <c r="K39" s="1"/>
      <c r="L39" s="1"/>
      <c r="M39" s="1"/>
    </row>
    <row r="40" spans="1:13" s="5" customFormat="1" ht="15.95" customHeight="1" x14ac:dyDescent="0.45">
      <c r="A40" s="1"/>
      <c r="B40" s="121"/>
      <c r="C40" s="136"/>
      <c r="D40" s="122"/>
      <c r="E40" s="123"/>
      <c r="F40" s="122"/>
      <c r="G40" s="122"/>
      <c r="H40" s="137"/>
      <c r="I40" s="122"/>
      <c r="J40" s="124"/>
      <c r="K40" s="1"/>
      <c r="L40" s="1"/>
      <c r="M40" s="1"/>
    </row>
    <row r="41" spans="1:13" s="5" customFormat="1" ht="16.899999999999999" x14ac:dyDescent="0.45">
      <c r="A41" s="1"/>
      <c r="B41" s="12"/>
      <c r="C41" s="138" t="s">
        <v>219</v>
      </c>
      <c r="D41" s="8"/>
      <c r="E41" s="20"/>
      <c r="F41" s="1"/>
      <c r="G41" s="1"/>
      <c r="H41" s="11"/>
      <c r="I41" s="1"/>
      <c r="J41" s="9"/>
      <c r="K41" s="1"/>
      <c r="L41" s="1"/>
      <c r="M41" s="1"/>
    </row>
    <row r="42" spans="1:13" s="5" customFormat="1" x14ac:dyDescent="0.45">
      <c r="A42" s="1"/>
      <c r="B42" s="12"/>
      <c r="C42" s="1" t="s">
        <v>200</v>
      </c>
      <c r="D42" s="8"/>
      <c r="E42" s="139">
        <f>E31</f>
        <v>1548.887167570359</v>
      </c>
      <c r="F42" s="1" t="s">
        <v>155</v>
      </c>
      <c r="G42" s="1"/>
      <c r="H42" s="11"/>
      <c r="I42" s="1"/>
      <c r="J42" s="9"/>
      <c r="K42" s="1"/>
      <c r="L42" s="1"/>
      <c r="M42" s="1"/>
    </row>
    <row r="43" spans="1:13" s="5" customFormat="1" ht="15.95" customHeight="1" x14ac:dyDescent="0.45">
      <c r="A43" s="1"/>
      <c r="B43" s="12"/>
      <c r="C43" s="1" t="s">
        <v>216</v>
      </c>
      <c r="D43" s="1"/>
      <c r="E43" s="20">
        <f>E42*E35+E36*12</f>
        <v>14239.984508133231</v>
      </c>
      <c r="F43" s="1" t="s">
        <v>23</v>
      </c>
      <c r="G43" s="1"/>
      <c r="H43" s="1"/>
      <c r="I43" s="1"/>
      <c r="J43" s="9"/>
      <c r="K43" s="1"/>
      <c r="L43" s="1"/>
      <c r="M43" s="1"/>
    </row>
    <row r="44" spans="1:13" s="5" customFormat="1" ht="15.95" customHeight="1" x14ac:dyDescent="0.45">
      <c r="A44" s="1"/>
      <c r="B44" s="12"/>
      <c r="C44" s="1" t="s">
        <v>25</v>
      </c>
      <c r="D44" s="1"/>
      <c r="E44" s="24">
        <v>500</v>
      </c>
      <c r="F44" s="1" t="s">
        <v>4</v>
      </c>
      <c r="G44" s="1"/>
      <c r="H44" s="21" t="s">
        <v>150</v>
      </c>
      <c r="I44" s="1"/>
      <c r="J44" s="9"/>
      <c r="K44" s="1"/>
      <c r="L44" s="1"/>
      <c r="M44" s="1"/>
    </row>
    <row r="45" spans="1:13" ht="15.95" customHeight="1" x14ac:dyDescent="0.45">
      <c r="B45" s="12"/>
      <c r="C45" s="1" t="s">
        <v>26</v>
      </c>
      <c r="E45" s="24">
        <v>0</v>
      </c>
      <c r="F45" s="1" t="s">
        <v>4</v>
      </c>
      <c r="H45" s="21"/>
      <c r="J45" s="9"/>
    </row>
    <row r="46" spans="1:13" ht="15.95" customHeight="1" x14ac:dyDescent="0.45">
      <c r="B46" s="12"/>
      <c r="C46" s="1" t="s">
        <v>82</v>
      </c>
      <c r="E46" s="24">
        <v>0</v>
      </c>
      <c r="F46" s="1" t="s">
        <v>4</v>
      </c>
      <c r="H46" s="21"/>
      <c r="J46" s="9"/>
    </row>
    <row r="47" spans="1:13" ht="15.95" customHeight="1" x14ac:dyDescent="0.45">
      <c r="B47" s="12"/>
      <c r="C47" s="33" t="s">
        <v>29</v>
      </c>
      <c r="D47" s="33"/>
      <c r="E47" s="34">
        <f>SUM(C43:E46)</f>
        <v>14739.984508133231</v>
      </c>
      <c r="F47" s="33" t="s">
        <v>23</v>
      </c>
      <c r="H47" s="11"/>
      <c r="J47" s="9"/>
    </row>
    <row r="48" spans="1:13" ht="15.95" customHeight="1" x14ac:dyDescent="0.45">
      <c r="B48" s="12"/>
      <c r="E48" s="20"/>
      <c r="H48" s="11"/>
      <c r="J48" s="9"/>
    </row>
    <row r="49" spans="1:13" ht="15.95" customHeight="1" x14ac:dyDescent="0.45">
      <c r="B49" s="12"/>
      <c r="C49" s="8" t="s">
        <v>221</v>
      </c>
      <c r="E49" s="20"/>
      <c r="H49" s="11"/>
      <c r="J49" s="9"/>
    </row>
    <row r="50" spans="1:13" ht="15.95" customHeight="1" x14ac:dyDescent="0.45">
      <c r="B50" s="12"/>
      <c r="C50" s="1" t="s">
        <v>32</v>
      </c>
      <c r="E50" s="24">
        <v>5</v>
      </c>
      <c r="F50" s="1" t="s">
        <v>27</v>
      </c>
      <c r="H50" s="11"/>
      <c r="J50" s="9"/>
    </row>
    <row r="51" spans="1:13" ht="15.95" customHeight="1" x14ac:dyDescent="0.45">
      <c r="B51" s="12"/>
      <c r="C51" s="1" t="s">
        <v>89</v>
      </c>
      <c r="E51" s="24">
        <v>35000</v>
      </c>
      <c r="F51" s="1" t="s">
        <v>2</v>
      </c>
      <c r="H51" s="25" t="s">
        <v>196</v>
      </c>
      <c r="J51" s="9"/>
    </row>
    <row r="52" spans="1:13" ht="15.95" customHeight="1" x14ac:dyDescent="0.45">
      <c r="B52" s="12"/>
      <c r="C52" s="1" t="s">
        <v>37</v>
      </c>
      <c r="E52" s="24">
        <v>20</v>
      </c>
      <c r="F52" s="1" t="s">
        <v>27</v>
      </c>
      <c r="H52" s="191" t="s">
        <v>222</v>
      </c>
      <c r="I52" s="191"/>
      <c r="J52" s="192"/>
    </row>
    <row r="53" spans="1:13" ht="15.95" customHeight="1" x14ac:dyDescent="0.45">
      <c r="B53" s="12"/>
      <c r="C53" s="1" t="s">
        <v>44</v>
      </c>
      <c r="D53" s="55">
        <v>0.03</v>
      </c>
      <c r="E53" s="20">
        <f>IFERROR(-PMT(D53,E52,E51),"")</f>
        <v>2352.549765890069</v>
      </c>
      <c r="F53" s="1" t="s">
        <v>4</v>
      </c>
      <c r="H53" s="191"/>
      <c r="I53" s="191"/>
      <c r="J53" s="192"/>
    </row>
    <row r="54" spans="1:13" ht="15.95" customHeight="1" x14ac:dyDescent="0.45">
      <c r="B54" s="12"/>
      <c r="D54" s="53"/>
      <c r="E54" s="20"/>
      <c r="H54" s="11"/>
      <c r="J54" s="9"/>
    </row>
    <row r="55" spans="1:13" ht="15.95" customHeight="1" x14ac:dyDescent="0.45">
      <c r="B55" s="12"/>
      <c r="C55" s="33" t="s">
        <v>46</v>
      </c>
      <c r="D55" s="33"/>
      <c r="E55" s="34">
        <f>IFERROR(E53+E47,"")</f>
        <v>17092.534274023299</v>
      </c>
      <c r="F55" s="33" t="s">
        <v>23</v>
      </c>
      <c r="H55" s="11"/>
      <c r="J55" s="9"/>
    </row>
    <row r="56" spans="1:13" s="5" customFormat="1" ht="15.95" customHeight="1" thickBot="1" x14ac:dyDescent="0.5">
      <c r="A56" s="1"/>
      <c r="B56" s="35"/>
      <c r="C56" s="36"/>
      <c r="D56" s="36"/>
      <c r="E56" s="37"/>
      <c r="F56" s="36"/>
      <c r="G56" s="36"/>
      <c r="H56" s="42"/>
      <c r="I56" s="36"/>
      <c r="J56" s="38"/>
      <c r="K56" s="1"/>
      <c r="L56" s="1"/>
      <c r="M56" s="1"/>
    </row>
    <row r="57" spans="1:13" s="5" customFormat="1" ht="15.95" customHeight="1" x14ac:dyDescent="0.45">
      <c r="A57" s="1"/>
      <c r="B57" s="1"/>
      <c r="C57" s="1"/>
      <c r="D57" s="1"/>
      <c r="E57" s="20"/>
      <c r="F57" s="1"/>
      <c r="G57" s="1"/>
      <c r="H57" s="11"/>
      <c r="I57" s="1"/>
      <c r="J57" s="1"/>
      <c r="K57" s="1"/>
      <c r="L57" s="1"/>
      <c r="M57" s="1"/>
    </row>
    <row r="58" spans="1:13" s="5" customFormat="1" ht="15.95" customHeight="1" thickBot="1" x14ac:dyDescent="0.5">
      <c r="A58" s="1"/>
      <c r="B58" s="1"/>
      <c r="C58" s="1"/>
      <c r="D58" s="1"/>
      <c r="E58" s="20"/>
      <c r="F58" s="1"/>
      <c r="G58" s="1"/>
      <c r="H58" s="11"/>
      <c r="I58" s="1"/>
      <c r="J58" s="1"/>
      <c r="K58" s="1"/>
      <c r="L58" s="1"/>
      <c r="M58" s="1"/>
    </row>
    <row r="59" spans="1:13" s="5" customFormat="1" ht="37.5" customHeight="1" x14ac:dyDescent="0.45">
      <c r="A59" s="1"/>
      <c r="B59" s="2"/>
      <c r="C59" s="3"/>
      <c r="D59" s="3"/>
      <c r="E59" s="3"/>
      <c r="F59" s="3"/>
      <c r="G59" s="3"/>
      <c r="H59" s="3"/>
      <c r="I59" s="3"/>
      <c r="J59" s="4"/>
      <c r="K59" s="1"/>
      <c r="L59" s="1"/>
      <c r="M59" s="1"/>
    </row>
    <row r="60" spans="1:13" s="5" customFormat="1" ht="38.25" customHeight="1" thickBot="1" x14ac:dyDescent="0.5">
      <c r="A60" s="1"/>
      <c r="B60" s="35"/>
      <c r="C60" s="185"/>
      <c r="D60" s="185"/>
      <c r="E60" s="185"/>
      <c r="F60" s="185"/>
      <c r="G60" s="185"/>
      <c r="H60" s="185"/>
      <c r="I60" s="185"/>
      <c r="J60" s="38"/>
      <c r="K60" s="1"/>
      <c r="L60" s="1"/>
      <c r="M60" s="1"/>
    </row>
    <row r="61" spans="1:13" s="5" customFormat="1" ht="18" customHeight="1" x14ac:dyDescent="0.45">
      <c r="A61" s="1"/>
      <c r="B61" s="12"/>
      <c r="C61" s="52"/>
      <c r="D61" s="52"/>
      <c r="E61" s="52"/>
      <c r="F61" s="52"/>
      <c r="G61" s="52"/>
      <c r="H61" s="52"/>
      <c r="I61" s="52"/>
      <c r="J61" s="9"/>
      <c r="K61" s="1"/>
      <c r="L61" s="1"/>
      <c r="M61" s="1"/>
    </row>
    <row r="62" spans="1:13" s="5" customFormat="1" ht="15.95" customHeight="1" x14ac:dyDescent="0.45">
      <c r="A62" s="1"/>
      <c r="B62" s="12"/>
      <c r="C62" s="44" t="s">
        <v>166</v>
      </c>
      <c r="D62" s="8"/>
      <c r="E62" s="20"/>
      <c r="F62" s="1"/>
      <c r="G62" s="1"/>
      <c r="H62" s="11"/>
      <c r="I62" s="1"/>
      <c r="J62" s="9"/>
      <c r="K62" s="1"/>
      <c r="L62" s="1"/>
      <c r="M62" s="1"/>
    </row>
    <row r="63" spans="1:13" s="5" customFormat="1" ht="15.95" customHeight="1" x14ac:dyDescent="0.45">
      <c r="A63" s="1"/>
      <c r="B63" s="12"/>
      <c r="C63" s="188" t="s">
        <v>57</v>
      </c>
      <c r="D63" s="188"/>
      <c r="E63" s="188"/>
      <c r="F63" s="188"/>
      <c r="G63" s="188"/>
      <c r="H63" s="188"/>
      <c r="I63" s="188"/>
      <c r="J63" s="195"/>
      <c r="K63" s="69"/>
      <c r="L63" s="1"/>
      <c r="M63" s="1"/>
    </row>
    <row r="64" spans="1:13" s="5" customFormat="1" ht="15.95" customHeight="1" x14ac:dyDescent="0.45">
      <c r="A64" s="1"/>
      <c r="B64" s="12"/>
      <c r="C64" s="70" t="s">
        <v>61</v>
      </c>
      <c r="D64" s="18"/>
      <c r="E64" s="24"/>
      <c r="F64" s="18"/>
      <c r="G64" s="1"/>
      <c r="H64" s="11"/>
      <c r="I64" s="1"/>
      <c r="J64" s="9"/>
      <c r="K64" s="1"/>
      <c r="L64" s="1"/>
      <c r="M64" s="1"/>
    </row>
    <row r="65" spans="1:13" s="5" customFormat="1" ht="15.95" customHeight="1" x14ac:dyDescent="0.45">
      <c r="A65" s="1"/>
      <c r="B65" s="12"/>
      <c r="C65" s="87" t="s">
        <v>100</v>
      </c>
      <c r="D65" s="86"/>
      <c r="E65" s="83"/>
      <c r="F65" s="86"/>
      <c r="G65" s="8"/>
      <c r="H65" s="1"/>
      <c r="I65" s="1"/>
      <c r="J65" s="9"/>
      <c r="K65" s="1"/>
      <c r="L65" s="1"/>
      <c r="M65" s="1"/>
    </row>
    <row r="66" spans="1:13" s="5" customFormat="1" ht="15.95" customHeight="1" x14ac:dyDescent="0.45">
      <c r="A66" s="1"/>
      <c r="B66" s="14"/>
      <c r="C66" s="56"/>
      <c r="D66" s="15"/>
      <c r="E66" s="23"/>
      <c r="F66" s="15"/>
      <c r="G66" s="15"/>
      <c r="H66" s="16"/>
      <c r="I66" s="15"/>
      <c r="J66" s="6"/>
      <c r="K66" s="1"/>
      <c r="L66" s="1"/>
      <c r="M66" s="1"/>
    </row>
    <row r="67" spans="1:13" ht="15.95" customHeight="1" x14ac:dyDescent="0.45">
      <c r="B67" s="12"/>
      <c r="J67" s="9"/>
    </row>
    <row r="68" spans="1:13" s="5" customFormat="1" ht="15.95" customHeight="1" x14ac:dyDescent="0.45">
      <c r="A68" s="1"/>
      <c r="B68" s="12"/>
      <c r="C68" s="10" t="s">
        <v>17</v>
      </c>
      <c r="D68" s="8"/>
      <c r="E68" s="1"/>
      <c r="F68" s="1"/>
      <c r="G68" s="1"/>
      <c r="H68" s="11"/>
      <c r="I68" s="1"/>
      <c r="J68" s="9"/>
      <c r="K68" s="1"/>
      <c r="L68" s="1"/>
      <c r="M68" s="1"/>
    </row>
    <row r="69" spans="1:13" s="5" customFormat="1" ht="15.95" customHeight="1" x14ac:dyDescent="0.45">
      <c r="A69" s="1"/>
      <c r="B69" s="12"/>
      <c r="C69" s="1" t="s">
        <v>55</v>
      </c>
      <c r="D69" s="1"/>
      <c r="E69" s="17">
        <v>15</v>
      </c>
      <c r="F69" s="83" t="s">
        <v>15</v>
      </c>
      <c r="G69" s="1"/>
      <c r="H69" s="140" t="s">
        <v>59</v>
      </c>
      <c r="I69" s="1"/>
      <c r="J69" s="9"/>
      <c r="K69" s="1"/>
      <c r="L69" s="1"/>
      <c r="M69" s="1"/>
    </row>
    <row r="70" spans="1:13" s="5" customFormat="1" ht="15.95" customHeight="1" x14ac:dyDescent="0.45">
      <c r="A70" s="1"/>
      <c r="B70" s="12"/>
      <c r="C70" s="1" t="s">
        <v>13</v>
      </c>
      <c r="D70" s="1"/>
      <c r="E70" s="17">
        <v>625</v>
      </c>
      <c r="F70" s="1" t="s">
        <v>4</v>
      </c>
      <c r="G70" s="1"/>
      <c r="H70" s="11"/>
      <c r="I70" s="1"/>
      <c r="J70" s="9"/>
      <c r="K70" s="1"/>
      <c r="L70" s="1"/>
      <c r="M70" s="1"/>
    </row>
    <row r="71" spans="1:13" s="5" customFormat="1" ht="15.95" customHeight="1" x14ac:dyDescent="0.45">
      <c r="A71" s="1"/>
      <c r="B71" s="12"/>
      <c r="C71" s="1" t="s">
        <v>14</v>
      </c>
      <c r="D71" s="1"/>
      <c r="E71" s="17">
        <v>500</v>
      </c>
      <c r="F71" s="1" t="s">
        <v>16</v>
      </c>
      <c r="G71" s="1"/>
      <c r="H71" s="11"/>
      <c r="I71" s="1"/>
      <c r="J71" s="9"/>
      <c r="K71" s="1"/>
      <c r="L71" s="1"/>
      <c r="M71" s="1"/>
    </row>
    <row r="72" spans="1:13" s="5" customFormat="1" ht="15.95" customHeight="1" x14ac:dyDescent="0.45">
      <c r="A72" s="1"/>
      <c r="B72" s="14"/>
      <c r="C72" s="15"/>
      <c r="D72" s="15"/>
      <c r="E72" s="19"/>
      <c r="F72" s="15"/>
      <c r="G72" s="15"/>
      <c r="H72" s="16"/>
      <c r="I72" s="15"/>
      <c r="J72" s="6"/>
      <c r="K72" s="1"/>
      <c r="L72" s="1"/>
      <c r="M72" s="1"/>
    </row>
    <row r="73" spans="1:13" ht="15.95" customHeight="1" x14ac:dyDescent="0.45">
      <c r="B73" s="12"/>
      <c r="E73" s="20"/>
      <c r="H73" s="11"/>
      <c r="J73" s="9"/>
    </row>
    <row r="74" spans="1:13" ht="16.899999999999999" x14ac:dyDescent="0.45">
      <c r="B74" s="12"/>
      <c r="C74" s="138" t="s">
        <v>220</v>
      </c>
      <c r="D74" s="8"/>
      <c r="E74" s="20"/>
      <c r="H74" s="11"/>
      <c r="J74" s="27"/>
      <c r="K74" s="28"/>
    </row>
    <row r="75" spans="1:13" ht="15.95" customHeight="1" x14ac:dyDescent="0.45">
      <c r="B75" s="12"/>
      <c r="C75" s="1" t="s">
        <v>55</v>
      </c>
      <c r="E75" s="20">
        <f>IF(F69="kr./m2",E22*E69,IF(F69="kr./år",E69,""))</f>
        <v>2415</v>
      </c>
      <c r="F75" s="1" t="s">
        <v>4</v>
      </c>
      <c r="H75" s="11"/>
      <c r="J75" s="27"/>
      <c r="K75" s="28"/>
    </row>
    <row r="76" spans="1:13" ht="15.95" customHeight="1" x14ac:dyDescent="0.45">
      <c r="B76" s="12"/>
      <c r="C76" s="1" t="s">
        <v>13</v>
      </c>
      <c r="E76" s="20">
        <f>E70</f>
        <v>625</v>
      </c>
      <c r="F76" s="1" t="s">
        <v>4</v>
      </c>
      <c r="H76" s="11"/>
      <c r="J76" s="29"/>
      <c r="K76" s="30"/>
    </row>
    <row r="77" spans="1:13" ht="15.95" customHeight="1" x14ac:dyDescent="0.45">
      <c r="B77" s="12"/>
      <c r="C77" s="1" t="s">
        <v>14</v>
      </c>
      <c r="E77" s="20">
        <f>E38/1000*E71</f>
        <v>6827.4946346501429</v>
      </c>
      <c r="F77" s="1" t="s">
        <v>23</v>
      </c>
      <c r="H77" s="11"/>
      <c r="J77" s="29"/>
      <c r="K77" s="30"/>
    </row>
    <row r="78" spans="1:13" ht="15.95" customHeight="1" x14ac:dyDescent="0.5">
      <c r="B78" s="12"/>
      <c r="C78" s="1" t="s">
        <v>24</v>
      </c>
      <c r="E78" s="24">
        <v>0</v>
      </c>
      <c r="F78" s="1" t="s">
        <v>4</v>
      </c>
      <c r="H78" s="11"/>
      <c r="J78" s="31"/>
      <c r="K78" s="32"/>
    </row>
    <row r="79" spans="1:13" ht="15.95" customHeight="1" x14ac:dyDescent="0.45">
      <c r="B79" s="12"/>
      <c r="C79" s="33" t="s">
        <v>29</v>
      </c>
      <c r="D79" s="33"/>
      <c r="E79" s="34">
        <f>SUM(E75:E78)</f>
        <v>9867.494634650142</v>
      </c>
      <c r="F79" s="33" t="s">
        <v>23</v>
      </c>
      <c r="H79" s="11"/>
      <c r="J79" s="27"/>
      <c r="K79" s="28"/>
    </row>
    <row r="80" spans="1:13" ht="15.95" customHeight="1" x14ac:dyDescent="0.45">
      <c r="B80" s="12"/>
      <c r="E80" s="20"/>
      <c r="H80" s="11"/>
      <c r="J80" s="27"/>
      <c r="K80" s="28"/>
    </row>
    <row r="81" spans="1:13" ht="15.95" customHeight="1" x14ac:dyDescent="0.45">
      <c r="B81" s="12"/>
      <c r="C81" s="8" t="s">
        <v>278</v>
      </c>
      <c r="D81" s="120"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45">
      <c r="B82" s="12"/>
      <c r="C82" s="8" t="s">
        <v>213</v>
      </c>
      <c r="D82" s="120" t="s">
        <v>18</v>
      </c>
      <c r="E82" s="24">
        <v>150</v>
      </c>
      <c r="F82" s="1" t="str">
        <f>IF(D82="Ja","kr./måned","Anvendes ikke")</f>
        <v>kr./måned</v>
      </c>
      <c r="H82" s="189"/>
      <c r="I82" s="189"/>
      <c r="J82" s="190"/>
      <c r="K82" s="28"/>
    </row>
    <row r="83" spans="1:13" ht="15.95" customHeight="1" x14ac:dyDescent="0.45">
      <c r="B83" s="12"/>
      <c r="C83" s="1" t="s">
        <v>277</v>
      </c>
      <c r="D83" s="156"/>
      <c r="E83" s="24">
        <v>10</v>
      </c>
      <c r="F83" s="1" t="s">
        <v>0</v>
      </c>
      <c r="H83" s="189"/>
      <c r="I83" s="189"/>
      <c r="J83" s="190"/>
      <c r="K83" s="28"/>
    </row>
    <row r="84" spans="1:13" ht="15.95" customHeight="1" x14ac:dyDescent="0.45">
      <c r="B84" s="12"/>
      <c r="D84" s="141"/>
      <c r="E84" s="142"/>
      <c r="F84" s="125"/>
      <c r="H84" s="189"/>
      <c r="I84" s="189"/>
      <c r="J84" s="190"/>
      <c r="K84" s="28"/>
    </row>
    <row r="85" spans="1:13" s="5" customFormat="1" ht="15.95" customHeight="1" x14ac:dyDescent="0.45">
      <c r="A85" s="1"/>
      <c r="B85" s="12"/>
      <c r="C85" s="8" t="s">
        <v>276</v>
      </c>
      <c r="D85" s="1"/>
      <c r="E85" s="1"/>
      <c r="F85" s="1"/>
      <c r="G85" s="1"/>
      <c r="H85" s="25"/>
      <c r="I85" s="1"/>
      <c r="J85" s="9"/>
      <c r="K85" s="1"/>
      <c r="L85" s="1"/>
      <c r="M85" s="1"/>
    </row>
    <row r="86" spans="1:13" s="5" customFormat="1" ht="15.95" customHeight="1" x14ac:dyDescent="0.45">
      <c r="A86" s="1"/>
      <c r="B86" s="12"/>
      <c r="C86" s="1" t="s">
        <v>186</v>
      </c>
      <c r="D86" s="1"/>
      <c r="E86" s="24">
        <v>0</v>
      </c>
      <c r="F86" s="1" t="s">
        <v>2</v>
      </c>
      <c r="G86" s="1"/>
      <c r="H86" s="25"/>
      <c r="I86" s="1"/>
      <c r="J86" s="9"/>
      <c r="K86" s="1"/>
      <c r="L86" s="1"/>
      <c r="M86" s="1"/>
    </row>
    <row r="87" spans="1:13" s="5" customFormat="1" ht="15.95" customHeight="1" x14ac:dyDescent="0.45">
      <c r="A87" s="1"/>
      <c r="B87" s="12"/>
      <c r="C87" s="1" t="s">
        <v>187</v>
      </c>
      <c r="D87" s="1"/>
      <c r="E87" s="24">
        <v>0</v>
      </c>
      <c r="F87" s="1" t="s">
        <v>2</v>
      </c>
      <c r="G87" s="1"/>
      <c r="H87" s="135" t="s">
        <v>274</v>
      </c>
      <c r="I87" s="1"/>
      <c r="J87" s="9"/>
      <c r="K87" s="1"/>
      <c r="L87" s="1"/>
      <c r="M87" s="1"/>
    </row>
    <row r="88" spans="1:13" s="5" customFormat="1" ht="15.95" customHeight="1" x14ac:dyDescent="0.45">
      <c r="A88" s="1"/>
      <c r="B88" s="12"/>
      <c r="C88" s="118" t="s">
        <v>265</v>
      </c>
      <c r="D88" s="1"/>
      <c r="E88" s="119">
        <v>0</v>
      </c>
      <c r="F88" s="25" t="s">
        <v>2</v>
      </c>
      <c r="G88" s="1"/>
      <c r="H88" s="25" t="s">
        <v>263</v>
      </c>
      <c r="I88" s="1"/>
      <c r="J88" s="9"/>
      <c r="K88" s="1"/>
      <c r="L88" s="1"/>
      <c r="M88" s="1"/>
    </row>
    <row r="89" spans="1:13" s="5" customFormat="1" ht="15.95" customHeight="1" x14ac:dyDescent="0.45">
      <c r="A89" s="1"/>
      <c r="B89" s="12"/>
      <c r="C89" s="1" t="s">
        <v>193</v>
      </c>
      <c r="D89" s="1"/>
      <c r="E89" s="24">
        <v>0</v>
      </c>
      <c r="F89" s="1" t="s">
        <v>2</v>
      </c>
      <c r="G89" s="1"/>
      <c r="H89" s="25" t="s">
        <v>168</v>
      </c>
      <c r="I89" s="1"/>
      <c r="J89" s="9"/>
      <c r="K89" s="1"/>
      <c r="L89" s="1"/>
      <c r="M89" s="1"/>
    </row>
    <row r="90" spans="1:13" s="5" customFormat="1" ht="15.95" customHeight="1" x14ac:dyDescent="0.45">
      <c r="A90" s="1"/>
      <c r="B90" s="12"/>
      <c r="C90" s="1"/>
      <c r="D90" s="1"/>
      <c r="E90" s="20"/>
      <c r="F90" s="1"/>
      <c r="G90" s="1"/>
      <c r="H90" s="25"/>
      <c r="I90" s="1"/>
      <c r="J90" s="9"/>
      <c r="K90" s="1"/>
      <c r="L90" s="1"/>
      <c r="M90" s="1"/>
    </row>
    <row r="91" spans="1:13" s="5" customFormat="1" ht="15.95" customHeight="1" x14ac:dyDescent="0.45">
      <c r="A91" s="1"/>
      <c r="B91" s="12"/>
      <c r="C91" s="1" t="s">
        <v>289</v>
      </c>
      <c r="D91" s="1"/>
      <c r="E91" s="20">
        <f>E86+E87-E88*0.26+E89</f>
        <v>0</v>
      </c>
      <c r="F91" s="1" t="s">
        <v>2</v>
      </c>
      <c r="G91" s="1"/>
      <c r="H91" s="191" t="s">
        <v>275</v>
      </c>
      <c r="I91" s="191"/>
      <c r="J91" s="192"/>
      <c r="K91" s="1"/>
      <c r="L91" s="1"/>
      <c r="M91" s="1"/>
    </row>
    <row r="92" spans="1:13" s="5" customFormat="1" ht="15.95" customHeight="1" x14ac:dyDescent="0.45">
      <c r="A92" s="1"/>
      <c r="B92" s="12"/>
      <c r="C92" s="1" t="s">
        <v>288</v>
      </c>
      <c r="D92" s="1"/>
      <c r="E92" s="24">
        <v>30</v>
      </c>
      <c r="F92" s="1" t="s">
        <v>27</v>
      </c>
      <c r="G92" s="1"/>
      <c r="H92" s="191"/>
      <c r="I92" s="191"/>
      <c r="J92" s="192"/>
      <c r="K92" s="1"/>
      <c r="L92" s="1"/>
      <c r="M92" s="1"/>
    </row>
    <row r="93" spans="1:13" s="5" customFormat="1" ht="15.95" customHeight="1" x14ac:dyDescent="0.45">
      <c r="A93" s="1"/>
      <c r="B93" s="12"/>
      <c r="C93" s="1" t="s">
        <v>228</v>
      </c>
      <c r="D93" s="55">
        <v>0.03</v>
      </c>
      <c r="E93" s="134">
        <f>IF(E92=1,E91,IFERROR(-PMT(D93,E92,E91),"0"))</f>
        <v>0</v>
      </c>
      <c r="F93" s="33" t="str">
        <f>"kr./år i "&amp; E92&amp;" år"</f>
        <v>kr./år i 30 år</v>
      </c>
      <c r="G93" s="1"/>
      <c r="H93" s="191"/>
      <c r="I93" s="191"/>
      <c r="J93" s="192"/>
      <c r="K93" s="1"/>
      <c r="L93" s="1"/>
      <c r="M93" s="1"/>
    </row>
    <row r="94" spans="1:13" s="5" customFormat="1" ht="15.95" customHeight="1" x14ac:dyDescent="0.45">
      <c r="A94" s="1"/>
      <c r="B94" s="12"/>
      <c r="C94" s="1"/>
      <c r="D94" s="1"/>
      <c r="E94" s="20"/>
      <c r="F94" s="1"/>
      <c r="G94" s="1"/>
      <c r="H94" s="107"/>
      <c r="I94" s="107"/>
      <c r="J94" s="108"/>
      <c r="K94" s="1"/>
      <c r="L94" s="1"/>
      <c r="M94" s="1"/>
    </row>
    <row r="95" spans="1:13" s="5" customFormat="1" ht="15.95" customHeight="1" x14ac:dyDescent="0.45">
      <c r="A95" s="1"/>
      <c r="B95" s="12"/>
      <c r="C95" s="8" t="s">
        <v>184</v>
      </c>
      <c r="D95" s="1"/>
      <c r="E95" s="24">
        <v>0</v>
      </c>
      <c r="F95" s="1" t="s">
        <v>2</v>
      </c>
      <c r="G95" s="1"/>
      <c r="H95" s="25"/>
      <c r="I95" s="1"/>
      <c r="J95" s="9"/>
      <c r="K95" s="1"/>
      <c r="L95" s="1"/>
      <c r="M95" s="1"/>
    </row>
    <row r="96" spans="1:13" s="5" customFormat="1" ht="15.95" customHeight="1" x14ac:dyDescent="0.45">
      <c r="A96" s="1"/>
      <c r="B96" s="12"/>
      <c r="C96" s="118" t="s">
        <v>188</v>
      </c>
      <c r="D96" s="1"/>
      <c r="E96" s="119">
        <v>0</v>
      </c>
      <c r="F96" s="25" t="s">
        <v>2</v>
      </c>
      <c r="G96" s="1"/>
      <c r="H96" s="25" t="s">
        <v>212</v>
      </c>
      <c r="I96" s="1"/>
      <c r="J96" s="9"/>
      <c r="K96" s="1"/>
      <c r="L96" s="1"/>
      <c r="M96" s="1"/>
    </row>
    <row r="97" spans="1:13" s="5" customFormat="1" ht="15.95" customHeight="1" x14ac:dyDescent="0.45">
      <c r="A97" s="1"/>
      <c r="B97" s="12"/>
      <c r="C97" s="1" t="s">
        <v>227</v>
      </c>
      <c r="D97" s="1"/>
      <c r="E97" s="20">
        <f>E95-E96*0.26</f>
        <v>0</v>
      </c>
      <c r="F97" s="1" t="s">
        <v>2</v>
      </c>
      <c r="G97" s="1"/>
      <c r="H97" s="25"/>
      <c r="I97" s="1"/>
      <c r="J97" s="9"/>
      <c r="K97" s="1"/>
      <c r="L97" s="1"/>
      <c r="M97" s="1"/>
    </row>
    <row r="98" spans="1:13" s="5" customFormat="1" ht="15.95" customHeight="1" x14ac:dyDescent="0.45">
      <c r="A98" s="1"/>
      <c r="B98" s="12"/>
      <c r="C98" s="1" t="s">
        <v>224</v>
      </c>
      <c r="D98" s="1"/>
      <c r="E98" s="24">
        <v>25</v>
      </c>
      <c r="F98" s="1" t="s">
        <v>27</v>
      </c>
      <c r="G98" s="1"/>
      <c r="H98" s="11"/>
      <c r="I98" s="1"/>
      <c r="J98" s="9"/>
      <c r="K98" s="1"/>
      <c r="L98" s="1"/>
      <c r="M98" s="1"/>
    </row>
    <row r="99" spans="1:13" s="5" customFormat="1" ht="15.95" customHeight="1" x14ac:dyDescent="0.45">
      <c r="A99" s="1"/>
      <c r="B99" s="12"/>
      <c r="C99" s="1" t="s">
        <v>225</v>
      </c>
      <c r="D99" s="55">
        <v>0.03</v>
      </c>
      <c r="E99" s="134">
        <f>IF(E98=1,E97,IFERROR(-PMT(D99,E98,E97),"0"))</f>
        <v>0</v>
      </c>
      <c r="F99" s="33" t="str">
        <f>"kr./år i "&amp; E98&amp;" år"</f>
        <v>kr./år i 25 år</v>
      </c>
      <c r="G99" s="1"/>
      <c r="H99" s="20"/>
      <c r="I99" s="1"/>
      <c r="J99" s="9"/>
      <c r="K99" s="1"/>
      <c r="L99" s="1"/>
      <c r="M99" s="1"/>
    </row>
    <row r="100" spans="1:13" s="5" customFormat="1" ht="15.95" customHeight="1" x14ac:dyDescent="0.45">
      <c r="A100" s="1"/>
      <c r="B100" s="12"/>
      <c r="C100" s="1"/>
      <c r="D100" s="53"/>
      <c r="E100" s="20"/>
      <c r="F100" s="1"/>
      <c r="G100" s="1"/>
      <c r="H100" s="193" t="s">
        <v>286</v>
      </c>
      <c r="I100" s="193"/>
      <c r="J100" s="194"/>
      <c r="K100" s="1"/>
      <c r="L100" s="1"/>
      <c r="M100" s="1"/>
    </row>
    <row r="101" spans="1:13" s="5" customFormat="1" ht="15.95" customHeight="1" x14ac:dyDescent="0.45">
      <c r="A101" s="1"/>
      <c r="B101" s="12"/>
      <c r="C101" s="1" t="s">
        <v>229</v>
      </c>
      <c r="D101" s="1"/>
      <c r="E101" s="24">
        <v>0</v>
      </c>
      <c r="F101" s="1" t="s">
        <v>2</v>
      </c>
      <c r="G101" s="1"/>
      <c r="H101" s="193"/>
      <c r="I101" s="193"/>
      <c r="J101" s="194"/>
      <c r="K101" s="1"/>
      <c r="L101" s="1"/>
      <c r="M101" s="1"/>
    </row>
    <row r="102" spans="1:13" s="5" customFormat="1" ht="15.95" customHeight="1" x14ac:dyDescent="0.45">
      <c r="A102" s="1"/>
      <c r="B102" s="12"/>
      <c r="C102" s="1" t="s">
        <v>37</v>
      </c>
      <c r="D102" s="1"/>
      <c r="E102" s="24">
        <v>25</v>
      </c>
      <c r="F102" s="1" t="s">
        <v>27</v>
      </c>
      <c r="G102" s="1"/>
      <c r="H102" s="193"/>
      <c r="I102" s="193"/>
      <c r="J102" s="194"/>
      <c r="K102" s="1"/>
      <c r="L102" s="1"/>
      <c r="M102" s="1"/>
    </row>
    <row r="103" spans="1:13" s="5" customFormat="1" ht="15.95" customHeight="1" x14ac:dyDescent="0.45">
      <c r="A103" s="1"/>
      <c r="B103" s="12"/>
      <c r="C103" s="1" t="s">
        <v>44</v>
      </c>
      <c r="D103" s="55">
        <v>0.03</v>
      </c>
      <c r="E103" s="134">
        <f>IF(E102=1,E101,IFERROR(-PMT(D103,E102,E101),"0"))</f>
        <v>0</v>
      </c>
      <c r="F103" s="33" t="str">
        <f>"kr./år i "&amp; E102&amp;" år"</f>
        <v>kr./år i 25 år</v>
      </c>
      <c r="G103" s="1"/>
      <c r="H103" s="193"/>
      <c r="I103" s="193"/>
      <c r="J103" s="194"/>
      <c r="K103" s="1"/>
      <c r="L103" s="1"/>
      <c r="M103" s="1"/>
    </row>
    <row r="104" spans="1:13" s="5" customFormat="1" ht="15.95" customHeight="1" x14ac:dyDescent="0.45">
      <c r="A104" s="1"/>
      <c r="B104" s="12"/>
      <c r="C104" s="1"/>
      <c r="D104" s="53"/>
      <c r="E104" s="20"/>
      <c r="F104" s="1"/>
      <c r="G104" s="1"/>
      <c r="H104" s="193"/>
      <c r="I104" s="193"/>
      <c r="J104" s="194"/>
      <c r="K104" s="1"/>
      <c r="L104" s="1"/>
      <c r="M104" s="1"/>
    </row>
    <row r="105" spans="1:13" s="5" customFormat="1" ht="15.95" customHeight="1" x14ac:dyDescent="0.45">
      <c r="A105" s="1"/>
      <c r="B105" s="12"/>
      <c r="C105" s="8" t="s">
        <v>230</v>
      </c>
      <c r="D105" s="53"/>
      <c r="E105" s="20"/>
      <c r="F105" s="1"/>
      <c r="G105" s="1"/>
      <c r="H105" s="1"/>
      <c r="I105" s="1"/>
      <c r="J105" s="9"/>
      <c r="K105" s="1"/>
      <c r="L105" s="1"/>
      <c r="M105" s="1"/>
    </row>
    <row r="106" spans="1:13" s="5" customFormat="1" ht="15.95" customHeight="1" x14ac:dyDescent="0.45">
      <c r="A106" s="1"/>
      <c r="B106" s="12"/>
      <c r="C106" s="157" t="str">
        <f>'Tabel resultat'!J15</f>
        <v>Ved tilslutning (år 1)</v>
      </c>
      <c r="D106" s="33"/>
      <c r="E106" s="34">
        <f>E79+E93+E99+IF(D81="Ja",E81*12,0)+IF(D82="Ja",E82*12)</f>
        <v>14067.494634650142</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45">
      <c r="A107" s="1"/>
      <c r="B107" s="12"/>
      <c r="C107" s="157" t="str">
        <f ca="1">"   "&amp;'Tabel resultat'!J21</f>
        <v xml:space="preserve">   Efter udløb af tillæg om 10 år</v>
      </c>
      <c r="D107" s="33"/>
      <c r="E107" s="34">
        <f ca="1">'Tabel resultat'!I21</f>
        <v>12267.494634650142</v>
      </c>
      <c r="F107" s="33" t="s">
        <v>23</v>
      </c>
      <c r="G107" s="1"/>
      <c r="H107" s="193"/>
      <c r="I107" s="193"/>
      <c r="J107" s="194"/>
      <c r="K107" s="1"/>
      <c r="L107" s="1"/>
      <c r="M107" s="1"/>
    </row>
    <row r="108" spans="1:13" s="5" customFormat="1" ht="15.95" customHeight="1" x14ac:dyDescent="0.45">
      <c r="A108" s="1"/>
      <c r="B108" s="12"/>
      <c r="C108" s="157" t="str">
        <f ca="1">"   "&amp;'Tabel resultat'!J22</f>
        <v xml:space="preserve">   Efter afskrevne tilslutningsbidrag om 30 år</v>
      </c>
      <c r="D108" s="33"/>
      <c r="E108" s="34">
        <f ca="1">'Tabel resultat'!I22</f>
        <v>12267.494634650142</v>
      </c>
      <c r="F108" s="33" t="s">
        <v>23</v>
      </c>
      <c r="G108" s="1"/>
      <c r="H108" s="1"/>
      <c r="I108" s="1"/>
      <c r="J108" s="9"/>
      <c r="K108" s="1"/>
      <c r="L108" s="1"/>
      <c r="M108" s="1"/>
    </row>
    <row r="109" spans="1:13" s="5" customFormat="1" ht="15.95" customHeight="1" x14ac:dyDescent="0.45">
      <c r="A109" s="1"/>
      <c r="B109" s="12"/>
      <c r="C109" s="157" t="str">
        <f ca="1">"   "&amp;'Tabel resultat'!J23</f>
        <v xml:space="preserve">   Efter levetidsforlængelse eller ny unit om 25 år</v>
      </c>
      <c r="D109" s="33"/>
      <c r="E109" s="34">
        <f ca="1">'Tabel resultat'!I23</f>
        <v>12267.494634650142</v>
      </c>
      <c r="F109" s="33" t="s">
        <v>23</v>
      </c>
      <c r="G109" s="1"/>
      <c r="H109" s="1"/>
      <c r="I109" s="1"/>
      <c r="J109" s="9"/>
      <c r="K109" s="1"/>
      <c r="L109" s="1"/>
      <c r="M109" s="1"/>
    </row>
    <row r="110" spans="1:13" ht="15.95" customHeight="1" x14ac:dyDescent="0.45">
      <c r="B110" s="12"/>
      <c r="E110" s="20"/>
      <c r="J110" s="9"/>
    </row>
    <row r="111" spans="1:13" ht="15.95" customHeight="1" x14ac:dyDescent="0.45">
      <c r="B111" s="12"/>
      <c r="C111" s="126" t="s">
        <v>195</v>
      </c>
      <c r="D111" s="33"/>
      <c r="E111" s="33"/>
      <c r="F111" s="33"/>
      <c r="I111" s="178"/>
      <c r="J111" s="179"/>
    </row>
    <row r="112" spans="1:13" ht="15.95" customHeight="1" x14ac:dyDescent="0.45">
      <c r="B112" s="12"/>
      <c r="C112" s="157" t="str">
        <f>'Tabel resultat'!J34</f>
        <v>Ved tilslutning (år 1)</v>
      </c>
      <c r="D112" s="33"/>
      <c r="E112" s="34">
        <f>'Tabel resultat'!I34</f>
        <v>672.48987348308947</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45">
      <c r="B113" s="12"/>
      <c r="C113" s="157" t="str">
        <f ca="1">"   "&amp;'Tabel resultat'!J35</f>
        <v xml:space="preserve">   Efter investering i ny gaskedel om 5 år</v>
      </c>
      <c r="D113" s="33"/>
      <c r="E113" s="34">
        <f ca="1">'Tabel resultat'!I35</f>
        <v>3025.0396393731571</v>
      </c>
      <c r="F113" s="33" t="s">
        <v>23</v>
      </c>
      <c r="H113" s="193"/>
      <c r="I113" s="193"/>
      <c r="J113" s="194"/>
    </row>
    <row r="114" spans="1:13" ht="15.95" customHeight="1" x14ac:dyDescent="0.45">
      <c r="B114" s="12"/>
      <c r="C114" s="157" t="str">
        <f ca="1">"      "&amp;'Tabel resultat'!J36</f>
        <v xml:space="preserve">      Efter udløb af tillæg om 10 år</v>
      </c>
      <c r="D114" s="33"/>
      <c r="E114" s="34">
        <f ca="1">'Tabel resultat'!I36</f>
        <v>4825.0396393731571</v>
      </c>
      <c r="F114" s="33" t="s">
        <v>23</v>
      </c>
      <c r="H114" s="178"/>
      <c r="I114" s="178"/>
      <c r="J114" s="179"/>
    </row>
    <row r="115" spans="1:13" ht="15.95" customHeight="1" x14ac:dyDescent="0.45">
      <c r="B115" s="12"/>
      <c r="C115" s="157" t="str">
        <f ca="1">"         "&amp;'Tabel resultat'!J37</f>
        <v xml:space="preserve">         Efter afskrevne tilslutningsbidrag om 30 år</v>
      </c>
      <c r="D115" s="33"/>
      <c r="E115" s="34">
        <f ca="1">'Tabel resultat'!I37</f>
        <v>4825.0396393731571</v>
      </c>
      <c r="F115" s="33" t="s">
        <v>23</v>
      </c>
      <c r="H115" s="178"/>
      <c r="I115" s="178"/>
      <c r="J115" s="179"/>
    </row>
    <row r="116" spans="1:13" ht="15.95" customHeight="1" x14ac:dyDescent="0.45">
      <c r="B116" s="12"/>
      <c r="C116" s="157" t="str">
        <f ca="1">"            "&amp;'Tabel resultat'!J38</f>
        <v xml:space="preserve">            Efter levetidsforlængelse eller ny unit om 25 år</v>
      </c>
      <c r="D116" s="33"/>
      <c r="E116" s="34">
        <f ca="1">'Tabel resultat'!I38</f>
        <v>4825.0396393731571</v>
      </c>
      <c r="F116" s="33" t="s">
        <v>23</v>
      </c>
      <c r="H116" s="178"/>
      <c r="I116" s="178"/>
      <c r="J116" s="179"/>
    </row>
    <row r="117" spans="1:13" ht="15.95" customHeight="1" x14ac:dyDescent="0.45">
      <c r="B117" s="12"/>
      <c r="J117" s="9"/>
    </row>
    <row r="118" spans="1:13" ht="15.95" customHeight="1" x14ac:dyDescent="0.45">
      <c r="B118" s="12"/>
      <c r="C118" s="126" t="s">
        <v>231</v>
      </c>
      <c r="D118" s="33"/>
      <c r="E118" s="34">
        <f>IF(AND(D81="Ja",D82="Ja"),E47-(E79+E81*12+E82*12),IF(D81="Ja",E47-(E79+E81*12),IF(D82="Ja",E47-(E79+E82*12),E47-E79)))</f>
        <v>672.48987348308947</v>
      </c>
      <c r="F118" s="33" t="s">
        <v>23</v>
      </c>
      <c r="H118" s="25" t="str">
        <f>IF(OR(D81="Ja",D82="Ja"),"Bemærk: Abonnement og/eller tillæg er indregnet.","")</f>
        <v>Bemærk: Abonnement og/eller tillæg er indregnet.</v>
      </c>
      <c r="J118" s="9"/>
    </row>
    <row r="119" spans="1:13" ht="15.95" customHeight="1" x14ac:dyDescent="0.45">
      <c r="B119" s="12"/>
      <c r="C119" s="33" t="s">
        <v>223</v>
      </c>
      <c r="D119" s="33"/>
      <c r="E119" s="159">
        <f>ROUND(E118/E47*100,1)</f>
        <v>4.5999999999999996</v>
      </c>
      <c r="F119" s="33" t="s">
        <v>76</v>
      </c>
      <c r="H119" s="25"/>
      <c r="J119" s="9"/>
    </row>
    <row r="120" spans="1:13" ht="15.95" customHeight="1" x14ac:dyDescent="0.45">
      <c r="B120" s="12"/>
      <c r="C120" s="33" t="s">
        <v>194</v>
      </c>
      <c r="D120" s="33"/>
      <c r="E120" s="134" t="str">
        <f>IF(((E91+E97)/E118)&lt;=0,"Tjent hjem fra start. 0",(E97+E91)/E118)</f>
        <v>Tjent hjem fra start. 0</v>
      </c>
      <c r="F120" s="33" t="s">
        <v>27</v>
      </c>
      <c r="H120" s="125" t="str">
        <f>"ift. "&amp;E97+E91&amp;" kr. (felt E91+E97)"</f>
        <v>ift. 0 kr. (felt E91+E97)</v>
      </c>
      <c r="J120" s="9"/>
    </row>
    <row r="121" spans="1:13" s="5" customFormat="1" ht="15.95" customHeight="1" thickBot="1" x14ac:dyDescent="0.5">
      <c r="A121" s="1"/>
      <c r="B121" s="35"/>
      <c r="C121" s="143" t="s">
        <v>285</v>
      </c>
      <c r="D121" s="144"/>
      <c r="E121" s="160" t="str">
        <f>IF(((E91+E97-E51)/E118)&lt;0,"Tjent hjem fra start. 0",(E91+E97-E51)/E118)</f>
        <v>Tjent hjem fra start. 0</v>
      </c>
      <c r="F121" s="145" t="s">
        <v>27</v>
      </c>
      <c r="G121" s="36"/>
      <c r="H121" s="146" t="str">
        <f>"ift. "&amp;E91+E97&amp;" kr. (felt E91+E97) minus "&amp;E51&amp;" kr. (felt E51)"</f>
        <v>ift. 0 kr. (felt E91+E97) minus 35000 kr. (felt E51)</v>
      </c>
      <c r="I121" s="36"/>
      <c r="J121" s="38"/>
      <c r="K121" s="1"/>
      <c r="L121" s="1"/>
      <c r="M121" s="1"/>
    </row>
    <row r="122" spans="1:13" s="5" customFormat="1" ht="15.95" customHeight="1" thickBot="1" x14ac:dyDescent="0.5">
      <c r="A122" s="1"/>
      <c r="B122" s="1"/>
      <c r="C122" s="1"/>
      <c r="D122" s="1"/>
      <c r="E122" s="20"/>
      <c r="F122" s="1"/>
      <c r="G122" s="1"/>
      <c r="H122" s="1"/>
      <c r="I122" s="1"/>
      <c r="J122" s="1"/>
      <c r="K122" s="1"/>
      <c r="L122" s="1"/>
      <c r="M122" s="1"/>
    </row>
    <row r="123" spans="1:13" s="5" customFormat="1" ht="37.5" customHeight="1" x14ac:dyDescent="0.45">
      <c r="A123" s="1"/>
      <c r="B123" s="2"/>
      <c r="C123" s="3"/>
      <c r="D123" s="3"/>
      <c r="E123" s="3"/>
      <c r="F123" s="3"/>
      <c r="G123" s="3"/>
      <c r="H123" s="3"/>
      <c r="I123" s="3"/>
      <c r="J123" s="4"/>
      <c r="K123" s="1"/>
      <c r="L123" s="1"/>
      <c r="M123" s="1"/>
    </row>
    <row r="124" spans="1:13" s="5" customFormat="1" ht="38.25" customHeight="1" thickBot="1" x14ac:dyDescent="0.5">
      <c r="A124" s="1"/>
      <c r="B124" s="35"/>
      <c r="C124" s="111"/>
      <c r="D124" s="111"/>
      <c r="E124" s="111"/>
      <c r="F124" s="111"/>
      <c r="G124" s="111"/>
      <c r="H124" s="111"/>
      <c r="I124" s="111"/>
      <c r="J124" s="38"/>
      <c r="K124" s="1"/>
      <c r="L124" s="1"/>
      <c r="M124" s="1"/>
    </row>
    <row r="125" spans="1:13" s="5" customFormat="1" ht="18" customHeight="1" x14ac:dyDescent="0.45">
      <c r="A125" s="1"/>
      <c r="B125" s="12"/>
      <c r="C125" s="52"/>
      <c r="D125" s="52"/>
      <c r="E125" s="52"/>
      <c r="F125" s="52"/>
      <c r="G125" s="52"/>
      <c r="H125" s="52"/>
      <c r="I125" s="52"/>
      <c r="J125" s="9"/>
      <c r="K125" s="1"/>
      <c r="L125" s="1"/>
      <c r="M125" s="1"/>
    </row>
    <row r="126" spans="1:13" s="5" customFormat="1" ht="15.95" customHeight="1" x14ac:dyDescent="0.45">
      <c r="A126" s="1"/>
      <c r="B126" s="12"/>
      <c r="C126" s="44" t="s">
        <v>74</v>
      </c>
      <c r="D126" s="8"/>
      <c r="E126" s="20"/>
      <c r="F126" s="1"/>
      <c r="G126" s="1"/>
      <c r="H126" s="11"/>
      <c r="I126" s="1"/>
      <c r="J126" s="9"/>
      <c r="K126" s="1"/>
      <c r="L126" s="1"/>
      <c r="M126" s="1"/>
    </row>
    <row r="127" spans="1:13" s="5" customFormat="1" ht="15.95" customHeight="1" x14ac:dyDescent="0.45">
      <c r="A127" s="1"/>
      <c r="B127" s="12"/>
      <c r="C127" s="188" t="s">
        <v>57</v>
      </c>
      <c r="D127" s="188"/>
      <c r="E127" s="188"/>
      <c r="F127" s="188"/>
      <c r="G127" s="188"/>
      <c r="H127" s="188"/>
      <c r="I127" s="188"/>
      <c r="J127" s="195"/>
      <c r="K127" s="69"/>
      <c r="L127" s="1"/>
      <c r="M127" s="1"/>
    </row>
    <row r="128" spans="1:13" s="5" customFormat="1" ht="15.95" customHeight="1" x14ac:dyDescent="0.45">
      <c r="A128" s="1"/>
      <c r="B128" s="12"/>
      <c r="C128" s="70" t="s">
        <v>61</v>
      </c>
      <c r="D128" s="18"/>
      <c r="E128" s="24"/>
      <c r="F128" s="18"/>
      <c r="G128" s="1"/>
      <c r="H128" s="11"/>
      <c r="I128" s="1"/>
      <c r="J128" s="9"/>
      <c r="K128" s="1"/>
      <c r="L128" s="1"/>
      <c r="M128" s="1"/>
    </row>
    <row r="129" spans="1:13" s="5" customFormat="1" ht="15.95" customHeight="1" x14ac:dyDescent="0.45">
      <c r="A129" s="1"/>
      <c r="B129" s="12"/>
      <c r="C129" s="87" t="s">
        <v>91</v>
      </c>
      <c r="D129" s="83"/>
      <c r="E129" s="88"/>
      <c r="F129" s="83"/>
      <c r="G129" s="1"/>
      <c r="H129" s="11"/>
      <c r="I129" s="1"/>
      <c r="J129" s="9"/>
      <c r="K129" s="1"/>
      <c r="L129" s="1"/>
      <c r="M129" s="1"/>
    </row>
    <row r="130" spans="1:13" s="5" customFormat="1" ht="15.95" customHeight="1" x14ac:dyDescent="0.45">
      <c r="A130" s="1"/>
      <c r="B130" s="14"/>
      <c r="C130" s="56"/>
      <c r="D130" s="15"/>
      <c r="E130" s="23"/>
      <c r="F130" s="15"/>
      <c r="G130" s="15"/>
      <c r="H130" s="16"/>
      <c r="I130" s="15"/>
      <c r="J130" s="6"/>
      <c r="K130" s="1"/>
      <c r="L130" s="1"/>
      <c r="M130" s="1"/>
    </row>
    <row r="131" spans="1:13" s="5" customFormat="1" ht="15.95" customHeight="1" x14ac:dyDescent="0.45">
      <c r="A131" s="1"/>
      <c r="B131" s="12"/>
      <c r="C131" s="1"/>
      <c r="D131" s="1"/>
      <c r="E131" s="20"/>
      <c r="F131" s="1"/>
      <c r="G131" s="1"/>
      <c r="H131" s="11"/>
      <c r="I131" s="1"/>
      <c r="J131" s="9"/>
      <c r="K131" s="1"/>
      <c r="L131" s="1"/>
      <c r="M131" s="1"/>
    </row>
    <row r="132" spans="1:13" s="5" customFormat="1" ht="15.95" customHeight="1" x14ac:dyDescent="0.45">
      <c r="A132" s="1"/>
      <c r="B132" s="12"/>
      <c r="C132" s="44" t="s">
        <v>60</v>
      </c>
      <c r="D132" s="8"/>
      <c r="E132" s="20"/>
      <c r="F132" s="1"/>
      <c r="G132" s="1"/>
      <c r="H132" s="11"/>
      <c r="I132" s="1"/>
      <c r="J132" s="9"/>
      <c r="K132" s="1"/>
      <c r="L132" s="1"/>
      <c r="M132" s="1"/>
    </row>
    <row r="133" spans="1:13" s="5" customFormat="1" ht="15.95" customHeight="1" x14ac:dyDescent="0.45">
      <c r="A133" s="1"/>
      <c r="B133" s="12"/>
      <c r="C133" s="1" t="s">
        <v>198</v>
      </c>
      <c r="D133" s="8"/>
      <c r="E133" s="85" t="s">
        <v>19</v>
      </c>
      <c r="F133" s="22" t="s">
        <v>59</v>
      </c>
      <c r="G133" s="1"/>
      <c r="H133" s="11"/>
      <c r="I133" s="1"/>
      <c r="J133" s="9"/>
      <c r="K133" s="1"/>
      <c r="L133" s="1"/>
      <c r="M133" s="1"/>
    </row>
    <row r="134" spans="1:13" s="5" customFormat="1" ht="15.95" customHeight="1" x14ac:dyDescent="0.45">
      <c r="A134" s="1"/>
      <c r="B134" s="12"/>
      <c r="C134" s="1"/>
      <c r="D134" s="8"/>
      <c r="E134" s="26"/>
      <c r="F134" s="22"/>
      <c r="G134" s="1"/>
      <c r="H134" s="11"/>
      <c r="I134" s="1"/>
      <c r="J134" s="9"/>
      <c r="K134" s="1"/>
      <c r="L134" s="1"/>
      <c r="M134" s="1"/>
    </row>
    <row r="135" spans="1:13" ht="15.95" customHeight="1" x14ac:dyDescent="0.45">
      <c r="B135" s="12"/>
      <c r="C135" s="1" t="s">
        <v>50</v>
      </c>
      <c r="E135" s="39">
        <v>3</v>
      </c>
      <c r="F135" s="1" t="s">
        <v>49</v>
      </c>
      <c r="H135" s="21" t="s">
        <v>101</v>
      </c>
      <c r="J135" s="9"/>
    </row>
    <row r="136" spans="1:13" ht="15.95" customHeight="1" x14ac:dyDescent="0.45">
      <c r="B136" s="12"/>
      <c r="C136" s="1" t="s">
        <v>54</v>
      </c>
      <c r="E136" s="20">
        <f>IFERROR(E38/E135,"")</f>
        <v>4551.6630897667619</v>
      </c>
      <c r="F136" s="1" t="s">
        <v>22</v>
      </c>
      <c r="J136" s="9"/>
    </row>
    <row r="137" spans="1:13" ht="15.95" customHeight="1" x14ac:dyDescent="0.45">
      <c r="B137" s="12"/>
      <c r="C137" s="1" t="s">
        <v>52</v>
      </c>
      <c r="E137" s="41">
        <v>3</v>
      </c>
      <c r="F137" s="1" t="s">
        <v>51</v>
      </c>
      <c r="H137" s="21" t="s">
        <v>53</v>
      </c>
      <c r="J137" s="9"/>
    </row>
    <row r="138" spans="1:13" ht="15.95" customHeight="1" x14ac:dyDescent="0.45">
      <c r="B138" s="12"/>
      <c r="E138" s="79"/>
      <c r="H138" s="21" t="s">
        <v>90</v>
      </c>
      <c r="J138" s="9"/>
    </row>
    <row r="139" spans="1:13" ht="15.95" customHeight="1" x14ac:dyDescent="0.45">
      <c r="B139" s="12"/>
      <c r="C139" s="8" t="s">
        <v>85</v>
      </c>
      <c r="E139" s="79"/>
      <c r="H139" s="21"/>
      <c r="J139" s="9"/>
    </row>
    <row r="140" spans="1:13" ht="15.95" customHeight="1" x14ac:dyDescent="0.45">
      <c r="B140" s="12"/>
      <c r="C140" s="1" t="s">
        <v>84</v>
      </c>
      <c r="E140" s="20">
        <f>IFERROR(E137*E136,"")</f>
        <v>13654.989269300286</v>
      </c>
      <c r="F140" s="1" t="s">
        <v>23</v>
      </c>
      <c r="J140" s="9"/>
    </row>
    <row r="141" spans="1:13" ht="15.95" customHeight="1" x14ac:dyDescent="0.45">
      <c r="B141" s="12"/>
      <c r="C141" s="1" t="s">
        <v>25</v>
      </c>
      <c r="E141" s="24">
        <v>0</v>
      </c>
      <c r="F141" s="1" t="s">
        <v>4</v>
      </c>
      <c r="J141" s="9"/>
    </row>
    <row r="142" spans="1:13" ht="15.95" customHeight="1" x14ac:dyDescent="0.45">
      <c r="B142" s="12"/>
      <c r="C142" s="1" t="s">
        <v>26</v>
      </c>
      <c r="E142" s="24">
        <v>2500</v>
      </c>
      <c r="F142" s="1" t="s">
        <v>4</v>
      </c>
      <c r="H142" s="21" t="s">
        <v>63</v>
      </c>
      <c r="J142" s="9"/>
    </row>
    <row r="143" spans="1:13" ht="15.95" customHeight="1" x14ac:dyDescent="0.45">
      <c r="B143" s="12"/>
      <c r="C143" s="33" t="s">
        <v>29</v>
      </c>
      <c r="D143" s="33"/>
      <c r="E143" s="34">
        <f>SUM(E140:E142)</f>
        <v>16154.989269300286</v>
      </c>
      <c r="F143" s="33" t="s">
        <v>23</v>
      </c>
      <c r="J143" s="9"/>
    </row>
    <row r="144" spans="1:13" ht="15.95" customHeight="1" x14ac:dyDescent="0.45">
      <c r="B144" s="12"/>
      <c r="E144" s="20"/>
      <c r="J144" s="9"/>
    </row>
    <row r="145" spans="2:10" ht="15.95" customHeight="1" x14ac:dyDescent="0.45">
      <c r="B145" s="12"/>
      <c r="C145" s="8" t="s">
        <v>30</v>
      </c>
      <c r="E145" s="24">
        <v>150000</v>
      </c>
      <c r="F145" s="1" t="s">
        <v>2</v>
      </c>
      <c r="H145" s="25" t="s">
        <v>197</v>
      </c>
      <c r="J145" s="9"/>
    </row>
    <row r="146" spans="2:10" ht="15.95" customHeight="1" x14ac:dyDescent="0.45">
      <c r="B146" s="12"/>
      <c r="C146" s="1" t="s">
        <v>163</v>
      </c>
      <c r="E146" s="24">
        <v>0</v>
      </c>
      <c r="F146" s="1" t="s">
        <v>2</v>
      </c>
      <c r="H146" s="25" t="s">
        <v>101</v>
      </c>
      <c r="J146" s="9"/>
    </row>
    <row r="147" spans="2:10" ht="15.95" customHeight="1" x14ac:dyDescent="0.45">
      <c r="B147" s="12"/>
      <c r="C147" s="1" t="s">
        <v>37</v>
      </c>
      <c r="E147" s="24">
        <v>16</v>
      </c>
      <c r="F147" s="1" t="s">
        <v>27</v>
      </c>
      <c r="H147" s="75"/>
      <c r="J147" s="9"/>
    </row>
    <row r="148" spans="2:10" ht="15.95" customHeight="1" x14ac:dyDescent="0.45">
      <c r="B148" s="12"/>
      <c r="C148" s="1" t="s">
        <v>44</v>
      </c>
      <c r="D148" s="55">
        <v>0.03</v>
      </c>
      <c r="E148" s="20">
        <f>IFERROR(-PMT(D148,E147,(E145+E146)),"")</f>
        <v>11941.627389823212</v>
      </c>
      <c r="F148" s="1" t="s">
        <v>4</v>
      </c>
      <c r="H148" s="54"/>
      <c r="J148" s="9"/>
    </row>
    <row r="149" spans="2:10" ht="15.95" customHeight="1" x14ac:dyDescent="0.45">
      <c r="B149" s="12"/>
      <c r="C149" s="33" t="s">
        <v>45</v>
      </c>
      <c r="D149" s="33"/>
      <c r="E149" s="34">
        <f>IFERROR(E143+E148,"")</f>
        <v>28096.616659123498</v>
      </c>
      <c r="F149" s="33" t="s">
        <v>23</v>
      </c>
      <c r="J149" s="9"/>
    </row>
    <row r="150" spans="2:10" ht="15.95" customHeight="1" x14ac:dyDescent="0.45">
      <c r="B150" s="12"/>
      <c r="E150" s="20"/>
      <c r="J150" s="9"/>
    </row>
    <row r="151" spans="2:10" ht="15.95" customHeight="1" x14ac:dyDescent="0.45">
      <c r="B151" s="12"/>
      <c r="C151" s="8" t="s">
        <v>62</v>
      </c>
      <c r="E151" s="24">
        <v>75000</v>
      </c>
      <c r="F151" s="1" t="s">
        <v>2</v>
      </c>
      <c r="H151" s="107"/>
      <c r="I151" s="107"/>
      <c r="J151" s="108"/>
    </row>
    <row r="152" spans="2:10" ht="15.95" customHeight="1" x14ac:dyDescent="0.45">
      <c r="B152" s="12"/>
      <c r="C152" s="1" t="s">
        <v>37</v>
      </c>
      <c r="E152" s="24">
        <v>8</v>
      </c>
      <c r="F152" s="1" t="s">
        <v>27</v>
      </c>
      <c r="H152" s="191" t="s">
        <v>233</v>
      </c>
      <c r="I152" s="191"/>
      <c r="J152" s="192"/>
    </row>
    <row r="153" spans="2:10" ht="15.95" customHeight="1" x14ac:dyDescent="0.45">
      <c r="B153" s="12"/>
      <c r="C153" s="1" t="s">
        <v>44</v>
      </c>
      <c r="D153" s="55">
        <v>0.03</v>
      </c>
      <c r="E153" s="20">
        <f>IFERROR(-PMT(D153,E152,E151),"")</f>
        <v>10684.229162042939</v>
      </c>
      <c r="F153" s="1" t="s">
        <v>4</v>
      </c>
      <c r="H153" s="191"/>
      <c r="I153" s="191"/>
      <c r="J153" s="192"/>
    </row>
    <row r="154" spans="2:10" ht="15.95" customHeight="1" x14ac:dyDescent="0.45">
      <c r="B154" s="12"/>
      <c r="C154" s="33" t="s">
        <v>164</v>
      </c>
      <c r="D154" s="33"/>
      <c r="E154" s="34">
        <f>IFERROR(E143+E153,"")</f>
        <v>26839.218431343223</v>
      </c>
      <c r="F154" s="33" t="s">
        <v>23</v>
      </c>
      <c r="J154" s="9"/>
    </row>
    <row r="155" spans="2:10" ht="15.95" customHeight="1" thickBot="1" x14ac:dyDescent="0.5">
      <c r="B155" s="35"/>
      <c r="C155" s="36"/>
      <c r="D155" s="36"/>
      <c r="E155" s="36"/>
      <c r="F155" s="36"/>
      <c r="G155" s="36"/>
      <c r="H155" s="36"/>
      <c r="I155" s="36"/>
      <c r="J155" s="38"/>
    </row>
    <row r="156" spans="2:10" ht="15.95" customHeight="1" x14ac:dyDescent="0.45">
      <c r="B156" s="12"/>
      <c r="E156" s="20"/>
      <c r="H156" s="11"/>
      <c r="J156" s="9"/>
    </row>
    <row r="157" spans="2:10" ht="15.95" customHeight="1" x14ac:dyDescent="0.45">
      <c r="B157" s="12"/>
      <c r="C157" s="44" t="s">
        <v>77</v>
      </c>
      <c r="D157" s="8"/>
      <c r="E157" s="20"/>
      <c r="H157" s="11"/>
      <c r="J157" s="9"/>
    </row>
    <row r="158" spans="2:10" ht="15.95" customHeight="1" x14ac:dyDescent="0.45">
      <c r="B158" s="12"/>
      <c r="C158" s="1" t="s">
        <v>198</v>
      </c>
      <c r="D158" s="8"/>
      <c r="E158" s="85" t="s">
        <v>19</v>
      </c>
      <c r="F158" s="22" t="s">
        <v>59</v>
      </c>
      <c r="H158" s="11"/>
      <c r="J158" s="9"/>
    </row>
    <row r="159" spans="2:10" ht="15.95" customHeight="1" x14ac:dyDescent="0.45">
      <c r="B159" s="12"/>
      <c r="D159" s="8"/>
      <c r="E159" s="26"/>
      <c r="F159" s="22"/>
      <c r="H159" s="11"/>
      <c r="J159" s="9"/>
    </row>
    <row r="160" spans="2:10" ht="15.95" customHeight="1" x14ac:dyDescent="0.45">
      <c r="B160" s="12"/>
      <c r="C160" s="1" t="s">
        <v>75</v>
      </c>
      <c r="E160" s="39">
        <v>85</v>
      </c>
      <c r="F160" s="1" t="s">
        <v>76</v>
      </c>
      <c r="H160" s="21"/>
      <c r="J160" s="9"/>
    </row>
    <row r="161" spans="2:10" ht="15.95" customHeight="1" x14ac:dyDescent="0.45">
      <c r="B161" s="12"/>
      <c r="C161" s="1" t="s">
        <v>78</v>
      </c>
      <c r="E161" s="20">
        <f>IFERROR(E38/(E160/100),"")</f>
        <v>16064.693258000336</v>
      </c>
      <c r="F161" s="1" t="s">
        <v>22</v>
      </c>
      <c r="J161" s="9"/>
    </row>
    <row r="162" spans="2:10" ht="15.95" customHeight="1" x14ac:dyDescent="0.45">
      <c r="B162" s="12"/>
      <c r="E162" s="20">
        <f>E161/4.86</f>
        <v>3305.4924399177644</v>
      </c>
      <c r="F162" s="1" t="s">
        <v>81</v>
      </c>
      <c r="J162" s="9"/>
    </row>
    <row r="163" spans="2:10" ht="15.95" customHeight="1" x14ac:dyDescent="0.45">
      <c r="B163" s="12"/>
      <c r="C163" s="1" t="s">
        <v>79</v>
      </c>
      <c r="E163" s="41">
        <v>2.2000000000000002</v>
      </c>
      <c r="F163" s="1" t="s">
        <v>80</v>
      </c>
      <c r="H163" s="21"/>
      <c r="J163" s="9"/>
    </row>
    <row r="164" spans="2:10" ht="15.95" customHeight="1" x14ac:dyDescent="0.45">
      <c r="B164" s="12"/>
      <c r="E164" s="79"/>
      <c r="H164" s="21"/>
      <c r="J164" s="9"/>
    </row>
    <row r="165" spans="2:10" ht="15.95" customHeight="1" x14ac:dyDescent="0.45">
      <c r="B165" s="12"/>
      <c r="C165" s="8" t="s">
        <v>86</v>
      </c>
      <c r="E165" s="79"/>
      <c r="H165" s="21"/>
      <c r="J165" s="9"/>
    </row>
    <row r="166" spans="2:10" ht="15.95" customHeight="1" x14ac:dyDescent="0.45">
      <c r="B166" s="12"/>
      <c r="C166" s="1" t="s">
        <v>71</v>
      </c>
      <c r="E166" s="20">
        <f>IFERROR(E163*E162,"")</f>
        <v>7272.083367819082</v>
      </c>
      <c r="F166" s="1" t="s">
        <v>23</v>
      </c>
      <c r="J166" s="9"/>
    </row>
    <row r="167" spans="2:10" ht="15.95" customHeight="1" x14ac:dyDescent="0.45">
      <c r="B167" s="12"/>
      <c r="C167" s="1" t="s">
        <v>25</v>
      </c>
      <c r="E167" s="24">
        <v>500</v>
      </c>
      <c r="F167" s="1" t="s">
        <v>4</v>
      </c>
      <c r="J167" s="9"/>
    </row>
    <row r="168" spans="2:10" ht="15.95" customHeight="1" x14ac:dyDescent="0.45">
      <c r="B168" s="12"/>
      <c r="C168" s="1" t="s">
        <v>83</v>
      </c>
      <c r="E168" s="24">
        <v>1500</v>
      </c>
      <c r="F168" s="1" t="s">
        <v>4</v>
      </c>
      <c r="H168" s="21"/>
      <c r="J168" s="9"/>
    </row>
    <row r="169" spans="2:10" ht="15.95" customHeight="1" x14ac:dyDescent="0.45">
      <c r="B169" s="12"/>
      <c r="C169" s="1" t="s">
        <v>82</v>
      </c>
      <c r="E169" s="24"/>
      <c r="F169" s="1" t="s">
        <v>4</v>
      </c>
      <c r="H169" s="21"/>
      <c r="J169" s="9"/>
    </row>
    <row r="170" spans="2:10" ht="15.95" customHeight="1" x14ac:dyDescent="0.45">
      <c r="B170" s="12"/>
      <c r="C170" s="33" t="s">
        <v>29</v>
      </c>
      <c r="D170" s="33"/>
      <c r="E170" s="34">
        <f>SUM(E166:E169)</f>
        <v>9272.0833678190829</v>
      </c>
      <c r="F170" s="33" t="s">
        <v>23</v>
      </c>
      <c r="J170" s="9"/>
    </row>
    <row r="171" spans="2:10" ht="15.95" customHeight="1" x14ac:dyDescent="0.45">
      <c r="B171" s="12"/>
      <c r="E171" s="20"/>
      <c r="J171" s="9"/>
    </row>
    <row r="172" spans="2:10" ht="15.95" customHeight="1" x14ac:dyDescent="0.45">
      <c r="B172" s="12"/>
      <c r="C172" s="8" t="s">
        <v>30</v>
      </c>
      <c r="E172" s="24">
        <v>70000</v>
      </c>
      <c r="F172" s="1" t="s">
        <v>2</v>
      </c>
      <c r="H172" s="25" t="s">
        <v>197</v>
      </c>
      <c r="J172" s="9"/>
    </row>
    <row r="173" spans="2:10" ht="15.95" customHeight="1" x14ac:dyDescent="0.45">
      <c r="B173" s="12"/>
      <c r="C173" s="1" t="s">
        <v>31</v>
      </c>
      <c r="E173" s="24">
        <v>0</v>
      </c>
      <c r="F173" s="1" t="s">
        <v>2</v>
      </c>
      <c r="J173" s="9"/>
    </row>
    <row r="174" spans="2:10" ht="15.95" customHeight="1" x14ac:dyDescent="0.45">
      <c r="B174" s="12"/>
      <c r="C174" s="1" t="s">
        <v>37</v>
      </c>
      <c r="E174" s="24">
        <v>15</v>
      </c>
      <c r="F174" s="1" t="s">
        <v>27</v>
      </c>
      <c r="H174" s="75"/>
      <c r="J174" s="9"/>
    </row>
    <row r="175" spans="2:10" ht="15.95" customHeight="1" x14ac:dyDescent="0.45">
      <c r="B175" s="12"/>
      <c r="C175" s="1" t="s">
        <v>44</v>
      </c>
      <c r="D175" s="55">
        <v>0.03</v>
      </c>
      <c r="E175" s="20">
        <f>IFERROR(-PMT(D175,E174,(E172+E173)),"")</f>
        <v>5863.6606323601618</v>
      </c>
      <c r="F175" s="1" t="s">
        <v>4</v>
      </c>
      <c r="H175" s="54"/>
      <c r="J175" s="9"/>
    </row>
    <row r="176" spans="2:10" ht="15.95" customHeight="1" x14ac:dyDescent="0.45">
      <c r="B176" s="12"/>
      <c r="C176" s="33" t="s">
        <v>45</v>
      </c>
      <c r="D176" s="33"/>
      <c r="E176" s="34">
        <f>IFERROR(E170+E175,"")</f>
        <v>15135.744000179246</v>
      </c>
      <c r="F176" s="33" t="s">
        <v>23</v>
      </c>
      <c r="J176" s="9"/>
    </row>
    <row r="177" spans="2:10" ht="15.95" customHeight="1" x14ac:dyDescent="0.45">
      <c r="B177" s="12"/>
      <c r="E177" s="20"/>
      <c r="J177" s="9"/>
    </row>
    <row r="178" spans="2:10" ht="15.95" customHeight="1" x14ac:dyDescent="0.45">
      <c r="B178" s="12"/>
      <c r="C178" s="8" t="s">
        <v>62</v>
      </c>
      <c r="E178" s="24">
        <v>35000</v>
      </c>
      <c r="F178" s="1" t="s">
        <v>2</v>
      </c>
      <c r="H178" s="107"/>
      <c r="I178" s="107"/>
      <c r="J178" s="108"/>
    </row>
    <row r="179" spans="2:10" ht="15.95" customHeight="1" x14ac:dyDescent="0.45">
      <c r="B179" s="12"/>
      <c r="C179" s="1" t="s">
        <v>37</v>
      </c>
      <c r="E179" s="24">
        <v>7</v>
      </c>
      <c r="F179" s="1" t="s">
        <v>27</v>
      </c>
      <c r="H179" s="191" t="s">
        <v>234</v>
      </c>
      <c r="I179" s="191"/>
      <c r="J179" s="192"/>
    </row>
    <row r="180" spans="2:10" ht="15.95" customHeight="1" x14ac:dyDescent="0.45">
      <c r="B180" s="12"/>
      <c r="C180" s="1" t="s">
        <v>44</v>
      </c>
      <c r="D180" s="55">
        <v>0.03</v>
      </c>
      <c r="E180" s="20">
        <f>IFERROR(-PMT(D180,E179,E178),"")</f>
        <v>5617.7223813995188</v>
      </c>
      <c r="F180" s="1" t="s">
        <v>4</v>
      </c>
      <c r="H180" s="191"/>
      <c r="I180" s="191"/>
      <c r="J180" s="192"/>
    </row>
    <row r="181" spans="2:10" ht="15.95" customHeight="1" x14ac:dyDescent="0.45">
      <c r="B181" s="12"/>
      <c r="C181" s="33" t="s">
        <v>164</v>
      </c>
      <c r="D181" s="33"/>
      <c r="E181" s="34">
        <f>IFERROR(E170+E180,"")</f>
        <v>14889.805749218602</v>
      </c>
      <c r="F181" s="33" t="s">
        <v>23</v>
      </c>
      <c r="J181" s="9"/>
    </row>
    <row r="182" spans="2:10" ht="15.95" customHeight="1" thickBot="1" x14ac:dyDescent="0.5">
      <c r="B182" s="35"/>
      <c r="C182" s="36"/>
      <c r="D182" s="36"/>
      <c r="E182" s="36"/>
      <c r="F182" s="36"/>
      <c r="G182" s="36"/>
      <c r="H182" s="36"/>
      <c r="I182" s="36"/>
      <c r="J182" s="38"/>
    </row>
    <row r="183" spans="2:10" x14ac:dyDescent="0.45"/>
    <row r="184" spans="2:10" x14ac:dyDescent="0.45"/>
    <row r="185" spans="2:10" x14ac:dyDescent="0.45"/>
    <row r="186" spans="2:10" x14ac:dyDescent="0.45"/>
    <row r="187" spans="2:10" x14ac:dyDescent="0.45"/>
    <row r="188" spans="2:10" x14ac:dyDescent="0.45"/>
    <row r="189" spans="2:10" x14ac:dyDescent="0.45"/>
    <row r="190" spans="2:10" x14ac:dyDescent="0.45"/>
    <row r="191" spans="2:10" x14ac:dyDescent="0.45"/>
    <row r="192" spans="2:10" x14ac:dyDescent="0.45"/>
    <row r="193" x14ac:dyDescent="0.45"/>
    <row r="194" x14ac:dyDescent="0.45"/>
    <row r="195" x14ac:dyDescent="0.45"/>
    <row r="196" x14ac:dyDescent="0.45"/>
    <row r="197" x14ac:dyDescent="0.45"/>
    <row r="198" x14ac:dyDescent="0.45"/>
    <row r="199" x14ac:dyDescent="0.45"/>
    <row r="200" x14ac:dyDescent="0.45"/>
    <row r="201" x14ac:dyDescent="0.45"/>
    <row r="202" x14ac:dyDescent="0.45"/>
    <row r="203" x14ac:dyDescent="0.45"/>
    <row r="204" x14ac:dyDescent="0.45"/>
    <row r="205" x14ac:dyDescent="0.45"/>
    <row r="206" x14ac:dyDescent="0.45"/>
    <row r="207" x14ac:dyDescent="0.45"/>
    <row r="208" x14ac:dyDescent="0.45"/>
    <row r="209" x14ac:dyDescent="0.45"/>
    <row r="210" x14ac:dyDescent="0.45"/>
    <row r="211" x14ac:dyDescent="0.45"/>
    <row r="212" x14ac:dyDescent="0.45"/>
    <row r="213" x14ac:dyDescent="0.45"/>
    <row r="214" x14ac:dyDescent="0.45"/>
    <row r="215" x14ac:dyDescent="0.45"/>
    <row r="216" x14ac:dyDescent="0.45"/>
    <row r="217" x14ac:dyDescent="0.45"/>
    <row r="218" x14ac:dyDescent="0.45"/>
    <row r="219" x14ac:dyDescent="0.45"/>
    <row r="220" x14ac:dyDescent="0.45"/>
    <row r="221" x14ac:dyDescent="0.45"/>
    <row r="222" x14ac:dyDescent="0.45"/>
    <row r="223" x14ac:dyDescent="0.45"/>
    <row r="224" x14ac:dyDescent="0.45"/>
    <row r="225" x14ac:dyDescent="0.45"/>
    <row r="226" x14ac:dyDescent="0.45"/>
    <row r="227" x14ac:dyDescent="0.45"/>
    <row r="228" x14ac:dyDescent="0.45"/>
    <row r="229" x14ac:dyDescent="0.45"/>
    <row r="230" x14ac:dyDescent="0.45"/>
    <row r="231" x14ac:dyDescent="0.45"/>
    <row r="232" x14ac:dyDescent="0.45"/>
    <row r="233" x14ac:dyDescent="0.45"/>
    <row r="234" x14ac:dyDescent="0.45"/>
    <row r="235" x14ac:dyDescent="0.45"/>
    <row r="236" x14ac:dyDescent="0.45"/>
    <row r="237" x14ac:dyDescent="0.45"/>
    <row r="238" x14ac:dyDescent="0.45"/>
    <row r="239" x14ac:dyDescent="0.45"/>
    <row r="240" x14ac:dyDescent="0.45"/>
    <row r="241" x14ac:dyDescent="0.45"/>
    <row r="242" x14ac:dyDescent="0.45"/>
    <row r="243" x14ac:dyDescent="0.45"/>
    <row r="244" x14ac:dyDescent="0.45"/>
    <row r="245" x14ac:dyDescent="0.45"/>
    <row r="246" x14ac:dyDescent="0.45"/>
    <row r="247" x14ac:dyDescent="0.45"/>
    <row r="248" x14ac:dyDescent="0.45"/>
    <row r="249" x14ac:dyDescent="0.45"/>
    <row r="250" x14ac:dyDescent="0.45"/>
    <row r="251" x14ac:dyDescent="0.45"/>
    <row r="252" x14ac:dyDescent="0.45"/>
    <row r="253" x14ac:dyDescent="0.45"/>
    <row r="254" x14ac:dyDescent="0.45"/>
    <row r="255" x14ac:dyDescent="0.45"/>
    <row r="256" x14ac:dyDescent="0.45"/>
    <row r="257" x14ac:dyDescent="0.45"/>
    <row r="258" x14ac:dyDescent="0.45"/>
    <row r="259" x14ac:dyDescent="0.45"/>
    <row r="260" x14ac:dyDescent="0.45"/>
    <row r="261" x14ac:dyDescent="0.45"/>
    <row r="262" x14ac:dyDescent="0.45"/>
    <row r="263" x14ac:dyDescent="0.45"/>
    <row r="264" x14ac:dyDescent="0.45"/>
    <row r="265" x14ac:dyDescent="0.45"/>
    <row r="266" x14ac:dyDescent="0.45"/>
    <row r="267" x14ac:dyDescent="0.45"/>
    <row r="268" x14ac:dyDescent="0.45"/>
    <row r="269" x14ac:dyDescent="0.45"/>
    <row r="270" x14ac:dyDescent="0.45"/>
    <row r="271" x14ac:dyDescent="0.45"/>
    <row r="272" x14ac:dyDescent="0.45"/>
    <row r="273" x14ac:dyDescent="0.45"/>
    <row r="274" x14ac:dyDescent="0.45"/>
    <row r="275" x14ac:dyDescent="0.45"/>
    <row r="276" x14ac:dyDescent="0.45"/>
    <row r="277" x14ac:dyDescent="0.45"/>
    <row r="278" x14ac:dyDescent="0.45"/>
    <row r="279" x14ac:dyDescent="0.45"/>
    <row r="280" x14ac:dyDescent="0.45"/>
    <row r="281" x14ac:dyDescent="0.45"/>
    <row r="282" x14ac:dyDescent="0.45"/>
    <row r="283" x14ac:dyDescent="0.45"/>
    <row r="284" x14ac:dyDescent="0.45"/>
    <row r="285" x14ac:dyDescent="0.45"/>
    <row r="286" x14ac:dyDescent="0.45"/>
    <row r="287" x14ac:dyDescent="0.45"/>
    <row r="288" x14ac:dyDescent="0.45"/>
    <row r="289" x14ac:dyDescent="0.45"/>
    <row r="290" x14ac:dyDescent="0.45"/>
    <row r="291" x14ac:dyDescent="0.45"/>
    <row r="292" x14ac:dyDescent="0.45"/>
    <row r="293" x14ac:dyDescent="0.45"/>
    <row r="294" x14ac:dyDescent="0.45"/>
    <row r="295" x14ac:dyDescent="0.45"/>
    <row r="296" x14ac:dyDescent="0.45"/>
    <row r="297" x14ac:dyDescent="0.45"/>
    <row r="298" x14ac:dyDescent="0.45"/>
    <row r="299" x14ac:dyDescent="0.45"/>
    <row r="300" x14ac:dyDescent="0.45"/>
    <row r="301" x14ac:dyDescent="0.45"/>
    <row r="302" x14ac:dyDescent="0.45"/>
    <row r="303" x14ac:dyDescent="0.45"/>
    <row r="304" x14ac:dyDescent="0.45"/>
    <row r="305" x14ac:dyDescent="0.45"/>
    <row r="306" x14ac:dyDescent="0.45"/>
    <row r="307" x14ac:dyDescent="0.45"/>
    <row r="308" x14ac:dyDescent="0.45"/>
    <row r="309" x14ac:dyDescent="0.45"/>
    <row r="310" x14ac:dyDescent="0.45"/>
    <row r="311" x14ac:dyDescent="0.45"/>
    <row r="312" x14ac:dyDescent="0.45"/>
    <row r="313" x14ac:dyDescent="0.45"/>
    <row r="314" x14ac:dyDescent="0.45"/>
    <row r="315" x14ac:dyDescent="0.45"/>
    <row r="316" x14ac:dyDescent="0.45"/>
    <row r="317" x14ac:dyDescent="0.45"/>
    <row r="318" x14ac:dyDescent="0.45"/>
    <row r="319" x14ac:dyDescent="0.45"/>
    <row r="320" x14ac:dyDescent="0.45"/>
    <row r="321" x14ac:dyDescent="0.45"/>
    <row r="322" x14ac:dyDescent="0.45"/>
    <row r="323" x14ac:dyDescent="0.45"/>
    <row r="324" x14ac:dyDescent="0.45"/>
    <row r="325" x14ac:dyDescent="0.45"/>
    <row r="326" x14ac:dyDescent="0.45"/>
    <row r="327" x14ac:dyDescent="0.45"/>
    <row r="328" x14ac:dyDescent="0.45"/>
    <row r="329" x14ac:dyDescent="0.45"/>
    <row r="330" x14ac:dyDescent="0.45"/>
    <row r="331" x14ac:dyDescent="0.45"/>
    <row r="332" x14ac:dyDescent="0.45"/>
    <row r="333" x14ac:dyDescent="0.45"/>
    <row r="334" x14ac:dyDescent="0.45"/>
    <row r="335" x14ac:dyDescent="0.45"/>
    <row r="336" x14ac:dyDescent="0.45"/>
    <row r="337" x14ac:dyDescent="0.45"/>
    <row r="338" x14ac:dyDescent="0.45"/>
    <row r="339" x14ac:dyDescent="0.45"/>
    <row r="340" x14ac:dyDescent="0.45"/>
    <row r="341" x14ac:dyDescent="0.45"/>
    <row r="342" x14ac:dyDescent="0.45"/>
    <row r="343" x14ac:dyDescent="0.45"/>
    <row r="344" x14ac:dyDescent="0.45"/>
    <row r="345" x14ac:dyDescent="0.45"/>
    <row r="346" x14ac:dyDescent="0.45"/>
    <row r="347" x14ac:dyDescent="0.45"/>
    <row r="348" x14ac:dyDescent="0.45"/>
    <row r="349" x14ac:dyDescent="0.45"/>
    <row r="350" x14ac:dyDescent="0.45"/>
    <row r="351" x14ac:dyDescent="0.45"/>
    <row r="352" x14ac:dyDescent="0.45"/>
    <row r="353" x14ac:dyDescent="0.45"/>
    <row r="354" x14ac:dyDescent="0.45"/>
    <row r="355" x14ac:dyDescent="0.45"/>
    <row r="356" x14ac:dyDescent="0.45"/>
    <row r="357" x14ac:dyDescent="0.45"/>
    <row r="358" x14ac:dyDescent="0.45"/>
    <row r="359" x14ac:dyDescent="0.45"/>
    <row r="360" x14ac:dyDescent="0.45"/>
    <row r="361" x14ac:dyDescent="0.45"/>
    <row r="362" x14ac:dyDescent="0.45"/>
    <row r="363" x14ac:dyDescent="0.45"/>
    <row r="364" x14ac:dyDescent="0.45"/>
    <row r="365" x14ac:dyDescent="0.45"/>
    <row r="366" x14ac:dyDescent="0.45"/>
    <row r="367" x14ac:dyDescent="0.45"/>
    <row r="368" x14ac:dyDescent="0.45"/>
    <row r="369" x14ac:dyDescent="0.45"/>
    <row r="370" x14ac:dyDescent="0.45"/>
    <row r="371" x14ac:dyDescent="0.45"/>
    <row r="372" x14ac:dyDescent="0.45"/>
    <row r="373" x14ac:dyDescent="0.45"/>
    <row r="374" x14ac:dyDescent="0.45"/>
    <row r="375" x14ac:dyDescent="0.45"/>
    <row r="376" x14ac:dyDescent="0.45"/>
    <row r="377" x14ac:dyDescent="0.45"/>
    <row r="378" x14ac:dyDescent="0.45"/>
    <row r="379" x14ac:dyDescent="0.45"/>
    <row r="380" x14ac:dyDescent="0.45"/>
    <row r="381" x14ac:dyDescent="0.45"/>
    <row r="382" x14ac:dyDescent="0.45"/>
    <row r="383" x14ac:dyDescent="0.45"/>
    <row r="384" x14ac:dyDescent="0.45"/>
    <row r="385" x14ac:dyDescent="0.45"/>
    <row r="386" x14ac:dyDescent="0.45"/>
    <row r="387" x14ac:dyDescent="0.45"/>
    <row r="388" x14ac:dyDescent="0.45"/>
    <row r="389" x14ac:dyDescent="0.45"/>
    <row r="390" x14ac:dyDescent="0.45"/>
    <row r="391" x14ac:dyDescent="0.45"/>
    <row r="392" x14ac:dyDescent="0.45"/>
    <row r="393" x14ac:dyDescent="0.45"/>
    <row r="394" x14ac:dyDescent="0.45"/>
    <row r="395" x14ac:dyDescent="0.45"/>
    <row r="396" x14ac:dyDescent="0.45"/>
    <row r="397" x14ac:dyDescent="0.45"/>
    <row r="398" x14ac:dyDescent="0.45"/>
    <row r="399" x14ac:dyDescent="0.45"/>
    <row r="400" x14ac:dyDescent="0.45"/>
    <row r="401" x14ac:dyDescent="0.45"/>
    <row r="402" x14ac:dyDescent="0.45"/>
    <row r="403" x14ac:dyDescent="0.45"/>
    <row r="404" x14ac:dyDescent="0.45"/>
    <row r="405" x14ac:dyDescent="0.45"/>
    <row r="406" x14ac:dyDescent="0.45"/>
    <row r="407" x14ac:dyDescent="0.45"/>
    <row r="408" x14ac:dyDescent="0.45"/>
    <row r="409" x14ac:dyDescent="0.45"/>
    <row r="410" x14ac:dyDescent="0.45"/>
    <row r="411" x14ac:dyDescent="0.45"/>
    <row r="412" x14ac:dyDescent="0.45"/>
    <row r="413" x14ac:dyDescent="0.45"/>
    <row r="414" x14ac:dyDescent="0.45"/>
    <row r="415" x14ac:dyDescent="0.45"/>
    <row r="416" x14ac:dyDescent="0.45"/>
    <row r="417" x14ac:dyDescent="0.45"/>
    <row r="418" x14ac:dyDescent="0.45"/>
    <row r="419" x14ac:dyDescent="0.45"/>
    <row r="420" x14ac:dyDescent="0.45"/>
    <row r="421" x14ac:dyDescent="0.45"/>
    <row r="422" x14ac:dyDescent="0.45"/>
    <row r="423" x14ac:dyDescent="0.45"/>
    <row r="424" x14ac:dyDescent="0.45"/>
    <row r="425" x14ac:dyDescent="0.45"/>
    <row r="426" x14ac:dyDescent="0.45"/>
    <row r="427" x14ac:dyDescent="0.45"/>
    <row r="428" x14ac:dyDescent="0.45"/>
    <row r="429" x14ac:dyDescent="0.45"/>
    <row r="430" x14ac:dyDescent="0.45"/>
    <row r="431" x14ac:dyDescent="0.45"/>
    <row r="432" x14ac:dyDescent="0.45"/>
    <row r="433" x14ac:dyDescent="0.45"/>
    <row r="434" x14ac:dyDescent="0.45"/>
    <row r="435" x14ac:dyDescent="0.45"/>
    <row r="436" x14ac:dyDescent="0.45"/>
    <row r="437" x14ac:dyDescent="0.45"/>
    <row r="438" x14ac:dyDescent="0.45"/>
    <row r="439" x14ac:dyDescent="0.45"/>
    <row r="440" x14ac:dyDescent="0.45"/>
    <row r="441" x14ac:dyDescent="0.45"/>
    <row r="442" x14ac:dyDescent="0.45"/>
    <row r="443" x14ac:dyDescent="0.45"/>
    <row r="444" x14ac:dyDescent="0.45"/>
    <row r="445" x14ac:dyDescent="0.45"/>
  </sheetData>
  <sheetProtection algorithmName="SHA-512" hashValue="EeZkZi+8GPEH7sFhP2EWXBotIBL8Q5uwLWdNE9m/NEa6gvWOflE0XfNDhPkC1TL2lls/WbOxEd3d2MC0w4zA6A==" saltValue="k47pUdPaozOz+sfQx1v8e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pageMargins left="0.7" right="0.7" top="0.75" bottom="0.75" header="0.3" footer="0.3"/>
  <pageSetup paperSize="9" scale="68"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Oplysninger!$B$240:$B$248</xm:f>
          </x14:formula1>
          <xm:sqref>E27</xm:sqref>
        </x14:dataValidation>
        <x14:dataValidation type="list" allowBlank="1" showInputMessage="1" showErrorMessage="1" xr:uid="{047738BF-7C2D-4BE7-8DF6-D5D6E366C3C4}">
          <x14:formula1>
            <xm:f>Oplysninger!$B$261:$B$262</xm:f>
          </x14:formula1>
          <xm:sqref>F69:G69</xm:sqref>
        </x14:dataValidation>
        <x14:dataValidation type="list" allowBlank="1" showInputMessage="1" showErrorMessage="1" xr:uid="{191541E1-45C3-4099-8997-020E099D78C5}">
          <x14:formula1>
            <xm:f>Oplysninger!$D$261:$D$262</xm:f>
          </x14:formula1>
          <xm:sqref>E158 E133 D81:D82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5305-3C4B-407B-B160-B3CF321498C6}">
  <dimension ref="A3:BI262"/>
  <sheetViews>
    <sheetView topLeftCell="A157" zoomScale="70" zoomScaleNormal="70" workbookViewId="0">
      <selection activeCell="C246" sqref="C246"/>
    </sheetView>
  </sheetViews>
  <sheetFormatPr defaultColWidth="9.1328125" defaultRowHeight="15.75" x14ac:dyDescent="0.5"/>
  <cols>
    <col min="1" max="14" width="9.1328125" style="32"/>
    <col min="15" max="15" width="12" style="32" bestFit="1" customWidth="1"/>
    <col min="16" max="16384" width="9.1328125" style="32"/>
  </cols>
  <sheetData>
    <row r="3" spans="1:61" ht="18" x14ac:dyDescent="0.55000000000000004">
      <c r="B3" s="99" t="s">
        <v>299</v>
      </c>
      <c r="C3" s="100"/>
      <c r="D3" s="100"/>
      <c r="E3" s="100"/>
      <c r="F3" s="100"/>
      <c r="G3" s="100"/>
      <c r="H3" s="100"/>
      <c r="I3" s="100"/>
      <c r="J3" s="100"/>
      <c r="K3" s="100"/>
      <c r="L3" s="100"/>
    </row>
    <row r="4" spans="1:61" x14ac:dyDescent="0.5">
      <c r="B4" s="32" t="s">
        <v>298</v>
      </c>
    </row>
    <row r="5" spans="1:61" s="101" customFormat="1" ht="18" x14ac:dyDescent="0.550000000000000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2" customFormat="1" x14ac:dyDescent="0.5">
      <c r="B6" s="113" t="s">
        <v>131</v>
      </c>
    </row>
    <row r="7" spans="1:61" x14ac:dyDescent="0.5">
      <c r="B7" s="51"/>
    </row>
    <row r="8" spans="1:61" x14ac:dyDescent="0.5">
      <c r="B8" s="76" t="s">
        <v>135</v>
      </c>
      <c r="N8" s="76" t="s">
        <v>134</v>
      </c>
    </row>
    <row r="9" spans="1:61" x14ac:dyDescent="0.5">
      <c r="B9" s="76" t="s">
        <v>130</v>
      </c>
      <c r="N9" s="106" t="s">
        <v>132</v>
      </c>
    </row>
    <row r="10" spans="1:61" x14ac:dyDescent="0.5">
      <c r="B10" s="51"/>
      <c r="N10" s="32" t="s">
        <v>133</v>
      </c>
    </row>
    <row r="11" spans="1:61" x14ac:dyDescent="0.5">
      <c r="B11" s="51"/>
    </row>
    <row r="12" spans="1:61" x14ac:dyDescent="0.5">
      <c r="B12" s="51"/>
    </row>
    <row r="13" spans="1:61" x14ac:dyDescent="0.5">
      <c r="B13" s="51"/>
    </row>
    <row r="14" spans="1:61" x14ac:dyDescent="0.5">
      <c r="B14" s="51"/>
    </row>
    <row r="15" spans="1:61" x14ac:dyDescent="0.5">
      <c r="B15" s="51"/>
    </row>
    <row r="16" spans="1:61" ht="15" customHeight="1" x14ac:dyDescent="0.5">
      <c r="B16" s="51"/>
    </row>
    <row r="17" spans="1:61" x14ac:dyDescent="0.5">
      <c r="B17" s="51"/>
    </row>
    <row r="18" spans="1:61" s="18" customFormat="1" x14ac:dyDescent="0.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5">
      <c r="B19" s="51"/>
    </row>
    <row r="20" spans="1:61" x14ac:dyDescent="0.5">
      <c r="B20" s="51"/>
    </row>
    <row r="21" spans="1:61" x14ac:dyDescent="0.5">
      <c r="B21" s="51"/>
    </row>
    <row r="22" spans="1:61" x14ac:dyDescent="0.5">
      <c r="B22" s="51"/>
    </row>
    <row r="23" spans="1:61" x14ac:dyDescent="0.5">
      <c r="B23" s="51"/>
    </row>
    <row r="24" spans="1:61" x14ac:dyDescent="0.5">
      <c r="B24" s="51"/>
    </row>
    <row r="25" spans="1:61" x14ac:dyDescent="0.5">
      <c r="B25" s="51"/>
    </row>
    <row r="26" spans="1:61" x14ac:dyDescent="0.5">
      <c r="B26" s="76"/>
    </row>
    <row r="27" spans="1:61" x14ac:dyDescent="0.5">
      <c r="B27" s="76"/>
    </row>
    <row r="28" spans="1:61" s="112" customFormat="1" x14ac:dyDescent="0.5">
      <c r="B28" s="113" t="s">
        <v>136</v>
      </c>
    </row>
    <row r="29" spans="1:61" x14ac:dyDescent="0.5">
      <c r="B29" s="51"/>
    </row>
    <row r="30" spans="1:61" x14ac:dyDescent="0.5">
      <c r="B30" s="32" t="s">
        <v>140</v>
      </c>
    </row>
    <row r="31" spans="1:61" x14ac:dyDescent="0.5">
      <c r="B31" s="32" t="s">
        <v>137</v>
      </c>
    </row>
    <row r="32" spans="1:61" x14ac:dyDescent="0.5">
      <c r="B32" s="32" t="s">
        <v>138</v>
      </c>
    </row>
    <row r="33" spans="2:16" x14ac:dyDescent="0.5">
      <c r="B33" s="96" t="s">
        <v>139</v>
      </c>
    </row>
    <row r="34" spans="2:16" x14ac:dyDescent="0.5">
      <c r="B34" s="76" t="s">
        <v>141</v>
      </c>
    </row>
    <row r="35" spans="2:16" x14ac:dyDescent="0.5">
      <c r="B35" s="76"/>
    </row>
    <row r="36" spans="2:16" s="112" customFormat="1" x14ac:dyDescent="0.5">
      <c r="B36" s="113" t="s">
        <v>121</v>
      </c>
    </row>
    <row r="37" spans="2:16" x14ac:dyDescent="0.5">
      <c r="B37" s="51"/>
    </row>
    <row r="38" spans="2:16" x14ac:dyDescent="0.5">
      <c r="B38" s="32" t="s">
        <v>111</v>
      </c>
    </row>
    <row r="40" spans="2:16" x14ac:dyDescent="0.5">
      <c r="B40" s="32" t="s">
        <v>116</v>
      </c>
      <c r="I40" s="76" t="s">
        <v>173</v>
      </c>
    </row>
    <row r="41" spans="2:16" x14ac:dyDescent="0.5">
      <c r="B41" s="32" t="s">
        <v>117</v>
      </c>
      <c r="I41" s="76" t="s">
        <v>174</v>
      </c>
    </row>
    <row r="45" spans="2:16" x14ac:dyDescent="0.5">
      <c r="P45" s="76" t="s">
        <v>134</v>
      </c>
    </row>
    <row r="46" spans="2:16" x14ac:dyDescent="0.5">
      <c r="P46" s="106" t="s">
        <v>132</v>
      </c>
    </row>
    <row r="47" spans="2:16" x14ac:dyDescent="0.5">
      <c r="B47" s="76"/>
    </row>
    <row r="48" spans="2:16" x14ac:dyDescent="0.5">
      <c r="B48" s="76"/>
    </row>
    <row r="49" spans="2:16" x14ac:dyDescent="0.5">
      <c r="B49" s="76"/>
    </row>
    <row r="50" spans="2:16" s="112" customFormat="1" x14ac:dyDescent="0.5">
      <c r="B50" s="113" t="s">
        <v>175</v>
      </c>
    </row>
    <row r="51" spans="2:16" x14ac:dyDescent="0.5">
      <c r="B51" s="76"/>
    </row>
    <row r="52" spans="2:16" x14ac:dyDescent="0.5">
      <c r="B52" s="76"/>
    </row>
    <row r="53" spans="2:16" x14ac:dyDescent="0.5">
      <c r="B53" s="76"/>
      <c r="P53" s="76" t="s">
        <v>134</v>
      </c>
    </row>
    <row r="54" spans="2:16" x14ac:dyDescent="0.5">
      <c r="B54" s="76"/>
      <c r="P54" s="106" t="s">
        <v>132</v>
      </c>
    </row>
    <row r="55" spans="2:16" x14ac:dyDescent="0.5">
      <c r="B55" s="76"/>
    </row>
    <row r="56" spans="2:16" x14ac:dyDescent="0.5">
      <c r="B56" s="76"/>
    </row>
    <row r="57" spans="2:16" s="112" customFormat="1" x14ac:dyDescent="0.5">
      <c r="B57" s="113" t="s">
        <v>176</v>
      </c>
    </row>
    <row r="58" spans="2:16" x14ac:dyDescent="0.5">
      <c r="B58" s="51"/>
    </row>
    <row r="59" spans="2:16" x14ac:dyDescent="0.5">
      <c r="B59" s="32" t="s">
        <v>178</v>
      </c>
      <c r="O59" s="76" t="s">
        <v>177</v>
      </c>
      <c r="P59" s="76" t="s">
        <v>181</v>
      </c>
    </row>
    <row r="60" spans="2:16" x14ac:dyDescent="0.5">
      <c r="B60" s="116" t="s">
        <v>179</v>
      </c>
      <c r="E60" s="117">
        <v>19000</v>
      </c>
      <c r="F60" s="32" t="s">
        <v>182</v>
      </c>
      <c r="P60" s="76" t="s">
        <v>167</v>
      </c>
    </row>
    <row r="61" spans="2:16" x14ac:dyDescent="0.5">
      <c r="B61" s="116" t="s">
        <v>180</v>
      </c>
      <c r="E61" s="117">
        <v>24000</v>
      </c>
      <c r="F61" s="32" t="s">
        <v>183</v>
      </c>
    </row>
    <row r="62" spans="2:16" x14ac:dyDescent="0.5">
      <c r="B62" s="76"/>
    </row>
    <row r="63" spans="2:16" s="112" customFormat="1" x14ac:dyDescent="0.5">
      <c r="B63" s="113" t="s">
        <v>241</v>
      </c>
    </row>
    <row r="64" spans="2:16" x14ac:dyDescent="0.5">
      <c r="G64" s="76"/>
    </row>
    <row r="65" spans="2:12" x14ac:dyDescent="0.5">
      <c r="B65" t="s">
        <v>245</v>
      </c>
      <c r="G65" s="106"/>
      <c r="K65" s="76" t="s">
        <v>243</v>
      </c>
    </row>
    <row r="66" spans="2:12" x14ac:dyDescent="0.5">
      <c r="B66" s="32" t="s">
        <v>246</v>
      </c>
      <c r="G66" s="106"/>
      <c r="K66" s="106" t="s">
        <v>244</v>
      </c>
    </row>
    <row r="67" spans="2:12" x14ac:dyDescent="0.5">
      <c r="G67" s="106"/>
    </row>
    <row r="68" spans="2:12" x14ac:dyDescent="0.5">
      <c r="B68" s="32" t="s">
        <v>242</v>
      </c>
      <c r="K68" s="76" t="s">
        <v>40</v>
      </c>
      <c r="L68" s="106" t="s">
        <v>240</v>
      </c>
    </row>
    <row r="69" spans="2:12" x14ac:dyDescent="0.5">
      <c r="G69" s="106"/>
    </row>
    <row r="71" spans="2:12" s="112" customFormat="1" x14ac:dyDescent="0.5">
      <c r="B71" s="113" t="s">
        <v>192</v>
      </c>
    </row>
    <row r="72" spans="2:12" x14ac:dyDescent="0.5">
      <c r="B72" s="51"/>
    </row>
    <row r="73" spans="2:12" x14ac:dyDescent="0.5">
      <c r="B73" s="32" t="s">
        <v>191</v>
      </c>
      <c r="K73" s="76"/>
    </row>
    <row r="74" spans="2:12" x14ac:dyDescent="0.5">
      <c r="B74" s="32" t="s">
        <v>189</v>
      </c>
      <c r="E74" s="109" t="s">
        <v>190</v>
      </c>
      <c r="K74" s="76"/>
    </row>
    <row r="75" spans="2:12" x14ac:dyDescent="0.5">
      <c r="B75" s="32" t="s">
        <v>185</v>
      </c>
      <c r="K75" s="76"/>
    </row>
    <row r="76" spans="2:12" x14ac:dyDescent="0.5">
      <c r="B76" s="109" t="s">
        <v>169</v>
      </c>
    </row>
    <row r="77" spans="2:12" x14ac:dyDescent="0.5">
      <c r="B77" s="32" t="s">
        <v>170</v>
      </c>
    </row>
    <row r="78" spans="2:12" x14ac:dyDescent="0.5">
      <c r="B78" s="76"/>
    </row>
    <row r="79" spans="2:12" s="112" customFormat="1" x14ac:dyDescent="0.5">
      <c r="B79" s="113" t="s">
        <v>112</v>
      </c>
    </row>
    <row r="80" spans="2:12" x14ac:dyDescent="0.5">
      <c r="B80" s="51"/>
    </row>
    <row r="81" spans="1:61" x14ac:dyDescent="0.5">
      <c r="B81" s="32" t="s">
        <v>115</v>
      </c>
    </row>
    <row r="82" spans="1:61" x14ac:dyDescent="0.5">
      <c r="B82" s="32" t="s">
        <v>114</v>
      </c>
    </row>
    <row r="83" spans="1:61" x14ac:dyDescent="0.5">
      <c r="B83" s="32" t="s">
        <v>113</v>
      </c>
    </row>
    <row r="85" spans="1:61" s="112" customFormat="1" x14ac:dyDescent="0.5">
      <c r="B85" s="113" t="s">
        <v>41</v>
      </c>
    </row>
    <row r="86" spans="1:61" x14ac:dyDescent="0.5">
      <c r="B86" s="51"/>
    </row>
    <row r="87" spans="1:61" x14ac:dyDescent="0.5">
      <c r="B87" s="32" t="s">
        <v>94</v>
      </c>
    </row>
    <row r="88" spans="1:61" x14ac:dyDescent="0.5">
      <c r="B88" s="32" t="s">
        <v>92</v>
      </c>
    </row>
    <row r="91" spans="1:61" x14ac:dyDescent="0.5">
      <c r="H91" s="92" t="s">
        <v>95</v>
      </c>
      <c r="I91" s="76"/>
      <c r="J91" s="76"/>
      <c r="K91" s="76"/>
      <c r="L91" s="76"/>
      <c r="M91" s="76"/>
      <c r="N91" s="76"/>
      <c r="O91" s="76"/>
    </row>
    <row r="92" spans="1:61" x14ac:dyDescent="0.5">
      <c r="H92" s="92" t="s">
        <v>96</v>
      </c>
      <c r="I92" s="76"/>
      <c r="J92" s="76"/>
      <c r="K92" s="76"/>
      <c r="L92" s="76"/>
      <c r="M92" s="76"/>
      <c r="N92" s="76"/>
      <c r="O92" s="76"/>
    </row>
    <row r="93" spans="1:61" x14ac:dyDescent="0.5">
      <c r="H93" s="76" t="s">
        <v>97</v>
      </c>
    </row>
    <row r="94" spans="1:61" s="91" customFormat="1" x14ac:dyDescent="0.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5">
      <c r="H95" s="93"/>
    </row>
    <row r="96" spans="1:61" x14ac:dyDescent="0.5">
      <c r="H96" s="93"/>
    </row>
    <row r="97" spans="1:61" x14ac:dyDescent="0.5">
      <c r="H97" s="93"/>
    </row>
    <row r="98" spans="1:61" x14ac:dyDescent="0.5">
      <c r="H98" s="93"/>
    </row>
    <row r="99" spans="1:61" s="91" customFormat="1" x14ac:dyDescent="0.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5">
      <c r="C100" s="1"/>
      <c r="D100" s="1"/>
      <c r="E100" s="11"/>
      <c r="F100" s="1"/>
      <c r="G100" s="1"/>
      <c r="H100" s="93"/>
    </row>
    <row r="101" spans="1:61" x14ac:dyDescent="0.5">
      <c r="H101" s="93"/>
    </row>
    <row r="102" spans="1:61" x14ac:dyDescent="0.5">
      <c r="H102" s="93"/>
    </row>
    <row r="103" spans="1:61" x14ac:dyDescent="0.5">
      <c r="H103" s="93"/>
    </row>
    <row r="104" spans="1:61" x14ac:dyDescent="0.5">
      <c r="H104" s="93"/>
    </row>
    <row r="105" spans="1:61" x14ac:dyDescent="0.5">
      <c r="H105" s="93"/>
    </row>
    <row r="106" spans="1:61" x14ac:dyDescent="0.5">
      <c r="H106" s="93"/>
    </row>
    <row r="107" spans="1:61" x14ac:dyDescent="0.5">
      <c r="H107" s="93"/>
    </row>
    <row r="108" spans="1:61" x14ac:dyDescent="0.5">
      <c r="B108" s="76" t="s">
        <v>40</v>
      </c>
      <c r="C108" s="94" t="s">
        <v>33</v>
      </c>
    </row>
    <row r="110" spans="1:61" s="113" customFormat="1" x14ac:dyDescent="0.5">
      <c r="B110" s="113" t="s">
        <v>204</v>
      </c>
    </row>
    <row r="112" spans="1:61" x14ac:dyDescent="0.5">
      <c r="B112" s="32" t="s">
        <v>209</v>
      </c>
      <c r="O112" s="32" t="s">
        <v>205</v>
      </c>
    </row>
    <row r="113" spans="1:15" x14ac:dyDescent="0.5">
      <c r="B113" s="32" t="s">
        <v>264</v>
      </c>
    </row>
    <row r="114" spans="1:15" x14ac:dyDescent="0.5">
      <c r="B114" s="32" t="s">
        <v>207</v>
      </c>
      <c r="O114" s="32" t="s">
        <v>206</v>
      </c>
    </row>
    <row r="115" spans="1:15" x14ac:dyDescent="0.5">
      <c r="B115" s="32" t="s">
        <v>208</v>
      </c>
    </row>
    <row r="116" spans="1:15" x14ac:dyDescent="0.5">
      <c r="B116" s="32" t="s">
        <v>210</v>
      </c>
    </row>
    <row r="117" spans="1:15" x14ac:dyDescent="0.5">
      <c r="B117" s="32" t="s">
        <v>211</v>
      </c>
    </row>
    <row r="119" spans="1:15" s="112" customFormat="1" x14ac:dyDescent="0.5">
      <c r="B119" s="113" t="s">
        <v>171</v>
      </c>
    </row>
    <row r="120" spans="1:15" x14ac:dyDescent="0.5">
      <c r="B120" s="51"/>
    </row>
    <row r="121" spans="1:15" x14ac:dyDescent="0.5">
      <c r="B121" s="32" t="s">
        <v>0</v>
      </c>
      <c r="C121" s="51" t="s">
        <v>65</v>
      </c>
      <c r="D121" s="51"/>
      <c r="E121" s="32" t="s">
        <v>98</v>
      </c>
    </row>
    <row r="122" spans="1:15" x14ac:dyDescent="0.5">
      <c r="A122" s="95"/>
      <c r="B122" s="32" t="s">
        <v>66</v>
      </c>
      <c r="C122" s="93">
        <v>0.8</v>
      </c>
      <c r="D122" s="93"/>
      <c r="E122" s="32" t="s">
        <v>99</v>
      </c>
    </row>
    <row r="123" spans="1:15" x14ac:dyDescent="0.5">
      <c r="A123" s="95"/>
      <c r="B123" s="200"/>
      <c r="C123" s="200"/>
      <c r="D123" s="200"/>
      <c r="E123" s="200"/>
      <c r="F123" s="200"/>
      <c r="G123" s="200"/>
      <c r="H123" s="200"/>
      <c r="I123" s="200"/>
      <c r="J123" s="200"/>
      <c r="K123" s="200"/>
    </row>
    <row r="124" spans="1:15" x14ac:dyDescent="0.5">
      <c r="B124" s="76" t="s">
        <v>123</v>
      </c>
    </row>
    <row r="126" spans="1:15" x14ac:dyDescent="0.5">
      <c r="B126" s="51" t="s">
        <v>67</v>
      </c>
    </row>
    <row r="127" spans="1:15" x14ac:dyDescent="0.5">
      <c r="B127" s="32" t="s">
        <v>68</v>
      </c>
    </row>
    <row r="128" spans="1:15" x14ac:dyDescent="0.5">
      <c r="B128" s="199" t="s">
        <v>70</v>
      </c>
      <c r="C128" s="199"/>
      <c r="D128" s="199"/>
      <c r="E128" s="199"/>
      <c r="F128" s="199"/>
      <c r="G128" s="199"/>
      <c r="H128" s="199"/>
      <c r="I128" s="199"/>
      <c r="J128" s="199"/>
      <c r="K128" s="199"/>
    </row>
    <row r="129" spans="1:61" x14ac:dyDescent="0.5">
      <c r="B129" s="199"/>
      <c r="C129" s="199"/>
      <c r="D129" s="199"/>
      <c r="E129" s="199"/>
      <c r="F129" s="199"/>
      <c r="G129" s="199"/>
      <c r="H129" s="199"/>
      <c r="I129" s="199"/>
      <c r="J129" s="199"/>
      <c r="K129" s="199"/>
    </row>
    <row r="130" spans="1:61" x14ac:dyDescent="0.5">
      <c r="B130" s="76" t="s">
        <v>124</v>
      </c>
    </row>
    <row r="131" spans="1:61" x14ac:dyDescent="0.5">
      <c r="B131" s="76" t="s">
        <v>69</v>
      </c>
    </row>
    <row r="133" spans="1:61" s="91" customFormat="1" x14ac:dyDescent="0.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row>
    <row r="134" spans="1:61" s="112" customFormat="1" x14ac:dyDescent="0.5">
      <c r="B134" s="113" t="s">
        <v>236</v>
      </c>
      <c r="O134" s="113" t="s">
        <v>122</v>
      </c>
    </row>
    <row r="135" spans="1:61" x14ac:dyDescent="0.5">
      <c r="B135" s="51"/>
      <c r="O135" s="51"/>
    </row>
    <row r="136" spans="1:61" x14ac:dyDescent="0.5">
      <c r="B136" s="32" t="s">
        <v>237</v>
      </c>
    </row>
    <row r="137" spans="1:61" ht="17.25" customHeight="1" x14ac:dyDescent="0.5">
      <c r="B137" s="32" t="s">
        <v>102</v>
      </c>
      <c r="O137" s="32" t="s">
        <v>126</v>
      </c>
      <c r="S137" s="32" t="s">
        <v>125</v>
      </c>
    </row>
    <row r="138" spans="1:61" x14ac:dyDescent="0.5">
      <c r="B138" s="32" t="s">
        <v>238</v>
      </c>
      <c r="O138" s="32" t="s">
        <v>129</v>
      </c>
      <c r="S138" s="32" t="s">
        <v>127</v>
      </c>
    </row>
    <row r="139" spans="1:61" x14ac:dyDescent="0.5">
      <c r="B139" s="133" t="s">
        <v>199</v>
      </c>
      <c r="C139" s="133"/>
      <c r="D139" s="133"/>
      <c r="E139" s="133"/>
      <c r="F139" s="133"/>
      <c r="G139" s="133"/>
      <c r="H139" s="133"/>
      <c r="I139" s="133"/>
      <c r="J139" s="133"/>
      <c r="K139" s="133"/>
      <c r="L139" s="133"/>
      <c r="M139" s="133"/>
      <c r="S139" s="32" t="s">
        <v>128</v>
      </c>
    </row>
    <row r="140" spans="1:61" x14ac:dyDescent="0.5">
      <c r="B140" s="133" t="s">
        <v>239</v>
      </c>
      <c r="C140" s="133"/>
      <c r="D140" s="133"/>
      <c r="E140" s="133"/>
      <c r="F140" s="133"/>
      <c r="G140" s="133"/>
      <c r="H140" s="133"/>
      <c r="I140" s="133"/>
      <c r="J140" s="133"/>
      <c r="K140" s="133"/>
      <c r="L140" s="133"/>
      <c r="M140" s="133"/>
    </row>
    <row r="142" spans="1:61" x14ac:dyDescent="0.5">
      <c r="B142" s="32" t="s">
        <v>106</v>
      </c>
    </row>
    <row r="143" spans="1:61" x14ac:dyDescent="0.5">
      <c r="B143" s="76" t="s">
        <v>103</v>
      </c>
    </row>
    <row r="145" spans="1:61" x14ac:dyDescent="0.5">
      <c r="E145" s="32" t="s">
        <v>104</v>
      </c>
      <c r="G145" s="32" t="s">
        <v>105</v>
      </c>
    </row>
    <row r="146" spans="1:61" x14ac:dyDescent="0.5">
      <c r="B146" s="32" t="s">
        <v>107</v>
      </c>
      <c r="E146" s="32">
        <v>3.15</v>
      </c>
      <c r="G146" s="32">
        <v>4.05</v>
      </c>
    </row>
    <row r="148" spans="1:61" s="91" customFormat="1" x14ac:dyDescent="0.5">
      <c r="A148" s="32"/>
      <c r="B148" s="32" t="s">
        <v>108</v>
      </c>
      <c r="C148" s="32"/>
      <c r="D148" s="32"/>
      <c r="E148" s="32">
        <v>2.95</v>
      </c>
      <c r="F148" s="32"/>
      <c r="G148" s="32">
        <v>3.75</v>
      </c>
      <c r="H148" s="32"/>
      <c r="I148" s="32" t="s">
        <v>118</v>
      </c>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row>
    <row r="149" spans="1:61" x14ac:dyDescent="0.5">
      <c r="I149" s="96" t="s">
        <v>119</v>
      </c>
    </row>
    <row r="150" spans="1:61" x14ac:dyDescent="0.5">
      <c r="B150" s="32" t="s">
        <v>109</v>
      </c>
      <c r="E150" s="32">
        <v>3.45</v>
      </c>
      <c r="G150" s="32">
        <v>4.3499999999999996</v>
      </c>
    </row>
    <row r="152" spans="1:61" x14ac:dyDescent="0.5">
      <c r="B152" s="32" t="s">
        <v>110</v>
      </c>
      <c r="E152" s="32">
        <v>3.25</v>
      </c>
      <c r="G152" s="32">
        <v>4.05</v>
      </c>
      <c r="I152" s="32" t="s">
        <v>120</v>
      </c>
    </row>
    <row r="153" spans="1:61" x14ac:dyDescent="0.5">
      <c r="I153" s="32" t="s">
        <v>119</v>
      </c>
    </row>
    <row r="156" spans="1:61" s="112" customFormat="1" x14ac:dyDescent="0.5">
      <c r="B156" s="113" t="s">
        <v>256</v>
      </c>
    </row>
    <row r="158" spans="1:61" x14ac:dyDescent="0.5">
      <c r="B158" s="151" t="s">
        <v>248</v>
      </c>
    </row>
    <row r="159" spans="1:61" x14ac:dyDescent="0.5">
      <c r="B159" s="151" t="s">
        <v>251</v>
      </c>
    </row>
    <row r="160" spans="1:61" x14ac:dyDescent="0.5">
      <c r="B160" s="151" t="s">
        <v>249</v>
      </c>
    </row>
    <row r="161" spans="2:2" x14ac:dyDescent="0.5">
      <c r="B161" s="151" t="s">
        <v>250</v>
      </c>
    </row>
    <row r="162" spans="2:2" x14ac:dyDescent="0.5">
      <c r="B162" s="152" t="s">
        <v>252</v>
      </c>
    </row>
    <row r="164" spans="2:2" x14ac:dyDescent="0.5">
      <c r="B164" s="51" t="s">
        <v>253</v>
      </c>
    </row>
    <row r="165" spans="2:2" x14ac:dyDescent="0.5">
      <c r="B165" s="150" t="s">
        <v>254</v>
      </c>
    </row>
    <row r="166" spans="2:2" x14ac:dyDescent="0.5">
      <c r="B166" s="153" t="s">
        <v>255</v>
      </c>
    </row>
    <row r="191" spans="2:9" ht="15.6" customHeight="1" x14ac:dyDescent="0.5">
      <c r="B191" s="200" t="s">
        <v>262</v>
      </c>
      <c r="C191" s="200"/>
      <c r="D191" s="200"/>
      <c r="E191" s="200"/>
      <c r="F191" s="200"/>
      <c r="G191" s="200"/>
      <c r="H191" s="200"/>
      <c r="I191" s="200"/>
    </row>
    <row r="192" spans="2:9" x14ac:dyDescent="0.5">
      <c r="B192" s="200"/>
      <c r="C192" s="200"/>
      <c r="D192" s="200"/>
      <c r="E192" s="200"/>
      <c r="F192" s="200"/>
      <c r="G192" s="200"/>
      <c r="H192" s="200"/>
      <c r="I192" s="200"/>
    </row>
    <row r="193" spans="2:9" x14ac:dyDescent="0.5">
      <c r="B193" s="200"/>
      <c r="C193" s="200"/>
      <c r="D193" s="200"/>
      <c r="E193" s="200"/>
      <c r="F193" s="200"/>
      <c r="G193" s="200"/>
      <c r="H193" s="200"/>
      <c r="I193" s="200"/>
    </row>
    <row r="194" spans="2:9" x14ac:dyDescent="0.5">
      <c r="B194" s="200"/>
      <c r="C194" s="200"/>
      <c r="D194" s="200"/>
      <c r="E194" s="200"/>
      <c r="F194" s="200"/>
      <c r="G194" s="200"/>
      <c r="H194" s="200"/>
      <c r="I194" s="200"/>
    </row>
    <row r="195" spans="2:9" x14ac:dyDescent="0.5">
      <c r="B195" s="200"/>
      <c r="C195" s="200"/>
      <c r="D195" s="200"/>
      <c r="E195" s="200"/>
      <c r="F195" s="200"/>
      <c r="G195" s="200"/>
      <c r="H195" s="200"/>
      <c r="I195" s="200"/>
    </row>
    <row r="196" spans="2:9" x14ac:dyDescent="0.5">
      <c r="B196" s="200"/>
      <c r="C196" s="200"/>
      <c r="D196" s="200"/>
      <c r="E196" s="200"/>
      <c r="F196" s="200"/>
      <c r="G196" s="200"/>
      <c r="H196" s="200"/>
      <c r="I196" s="200"/>
    </row>
    <row r="197" spans="2:9" x14ac:dyDescent="0.5">
      <c r="B197" s="200"/>
      <c r="C197" s="200"/>
      <c r="D197" s="200"/>
      <c r="E197" s="200"/>
      <c r="F197" s="200"/>
      <c r="G197" s="200"/>
      <c r="H197" s="200"/>
      <c r="I197" s="200"/>
    </row>
    <row r="198" spans="2:9" x14ac:dyDescent="0.5">
      <c r="B198" s="200"/>
      <c r="C198" s="200"/>
      <c r="D198" s="200"/>
      <c r="E198" s="200"/>
      <c r="F198" s="200"/>
      <c r="G198" s="200"/>
      <c r="H198" s="200"/>
      <c r="I198" s="200"/>
    </row>
    <row r="199" spans="2:9" x14ac:dyDescent="0.5">
      <c r="B199" s="32" t="s">
        <v>258</v>
      </c>
      <c r="D199" s="149" t="s">
        <v>257</v>
      </c>
    </row>
    <row r="208" spans="2:9" s="112" customFormat="1" x14ac:dyDescent="0.5">
      <c r="B208" s="113" t="s">
        <v>259</v>
      </c>
    </row>
    <row r="210" spans="2:15" ht="15.6" customHeight="1" x14ac:dyDescent="0.5">
      <c r="B210" s="155" t="s">
        <v>272</v>
      </c>
      <c r="C210" s="154"/>
      <c r="D210" s="154"/>
      <c r="E210" s="154"/>
      <c r="F210" s="154"/>
      <c r="G210" s="154"/>
      <c r="H210" s="154"/>
      <c r="I210" s="154"/>
      <c r="J210" s="154"/>
      <c r="K210" s="154"/>
      <c r="L210" s="154"/>
      <c r="M210" s="154"/>
      <c r="N210" s="154"/>
      <c r="O210" s="154"/>
    </row>
    <row r="211" spans="2:15" x14ac:dyDescent="0.5">
      <c r="B211" s="155" t="s">
        <v>273</v>
      </c>
      <c r="C211" s="154"/>
      <c r="D211" s="154"/>
      <c r="E211" s="154"/>
      <c r="F211" s="154"/>
      <c r="G211" s="154"/>
      <c r="H211" s="154"/>
      <c r="I211" s="154"/>
      <c r="J211" s="154"/>
      <c r="K211" s="154"/>
      <c r="L211" s="154"/>
      <c r="M211" s="154"/>
      <c r="N211" s="154"/>
      <c r="O211" s="154"/>
    </row>
    <row r="212" spans="2:15" x14ac:dyDescent="0.5">
      <c r="B212" s="154"/>
      <c r="C212" s="154"/>
      <c r="D212" s="154"/>
      <c r="E212" s="154"/>
      <c r="F212" s="154"/>
      <c r="G212" s="154"/>
      <c r="H212" s="154"/>
      <c r="I212" s="154"/>
      <c r="J212" s="154"/>
      <c r="K212" s="154"/>
      <c r="L212" s="154"/>
      <c r="M212" s="154"/>
      <c r="N212" s="154"/>
      <c r="O212" s="154"/>
    </row>
    <row r="213" spans="2:15" x14ac:dyDescent="0.5">
      <c r="B213" s="32" t="s">
        <v>260</v>
      </c>
      <c r="C213" s="154"/>
      <c r="D213" s="154"/>
      <c r="E213" s="154"/>
      <c r="F213" s="154"/>
      <c r="G213" s="154"/>
      <c r="H213" s="154"/>
      <c r="I213" s="154"/>
      <c r="J213" s="154"/>
    </row>
    <row r="214" spans="2:15" x14ac:dyDescent="0.5">
      <c r="B214" s="182" t="s">
        <v>247</v>
      </c>
      <c r="C214" s="154"/>
      <c r="D214" s="154"/>
      <c r="E214" s="154"/>
      <c r="F214" s="154"/>
      <c r="G214" s="154"/>
      <c r="H214" s="154"/>
      <c r="I214" s="154"/>
      <c r="J214" s="154"/>
    </row>
    <row r="215" spans="2:15" x14ac:dyDescent="0.5">
      <c r="B215" s="32" t="s">
        <v>261</v>
      </c>
    </row>
    <row r="218" spans="2:15" x14ac:dyDescent="0.5">
      <c r="B218" s="51" t="s">
        <v>266</v>
      </c>
    </row>
    <row r="219" spans="2:15" x14ac:dyDescent="0.5">
      <c r="B219" s="32" t="s">
        <v>268</v>
      </c>
    </row>
    <row r="220" spans="2:15" x14ac:dyDescent="0.5">
      <c r="B220" s="109" t="s">
        <v>267</v>
      </c>
    </row>
    <row r="221" spans="2:15" x14ac:dyDescent="0.5">
      <c r="B221" s="181" t="s">
        <v>292</v>
      </c>
    </row>
    <row r="222" spans="2:15" x14ac:dyDescent="0.5">
      <c r="B222" s="32" t="s">
        <v>269</v>
      </c>
    </row>
    <row r="223" spans="2:15" x14ac:dyDescent="0.5">
      <c r="B223" s="32" t="s">
        <v>294</v>
      </c>
    </row>
    <row r="224" spans="2:15" x14ac:dyDescent="0.5">
      <c r="B224" s="32" t="s">
        <v>270</v>
      </c>
    </row>
    <row r="225" spans="2:11" x14ac:dyDescent="0.5">
      <c r="B225" s="32" t="s">
        <v>271</v>
      </c>
    </row>
    <row r="226" spans="2:11" x14ac:dyDescent="0.5">
      <c r="B226" s="32" t="s">
        <v>295</v>
      </c>
    </row>
    <row r="227" spans="2:11" x14ac:dyDescent="0.5">
      <c r="B227" s="32" t="s">
        <v>293</v>
      </c>
    </row>
    <row r="230" spans="2:11" s="114" customFormat="1" x14ac:dyDescent="0.5">
      <c r="B230" s="115" t="s">
        <v>172</v>
      </c>
    </row>
    <row r="232" spans="2:11" x14ac:dyDescent="0.5">
      <c r="B232" s="51" t="s">
        <v>42</v>
      </c>
    </row>
    <row r="234" spans="2:11" x14ac:dyDescent="0.5">
      <c r="B234" s="97" t="s">
        <v>0</v>
      </c>
      <c r="C234" s="51" t="s">
        <v>1</v>
      </c>
      <c r="D234" s="93"/>
      <c r="E234" s="97"/>
      <c r="F234" s="93"/>
    </row>
    <row r="235" spans="2:11" x14ac:dyDescent="0.5">
      <c r="B235" s="93">
        <v>2011</v>
      </c>
      <c r="C235" s="98">
        <v>2979.4</v>
      </c>
      <c r="D235" s="93"/>
      <c r="E235" s="96"/>
      <c r="H235" s="98"/>
      <c r="I235" s="93"/>
      <c r="J235" s="93"/>
      <c r="K235" s="93"/>
    </row>
    <row r="236" spans="2:11" x14ac:dyDescent="0.5">
      <c r="B236" s="93">
        <v>2012</v>
      </c>
      <c r="C236" s="98">
        <v>3235.4</v>
      </c>
      <c r="D236" s="93"/>
      <c r="E236" s="96"/>
      <c r="H236" s="98"/>
      <c r="I236" s="93"/>
      <c r="J236" s="93"/>
      <c r="K236" s="93"/>
    </row>
    <row r="237" spans="2:11" x14ac:dyDescent="0.5">
      <c r="B237" s="93">
        <v>2013</v>
      </c>
      <c r="C237" s="98">
        <v>3208.8</v>
      </c>
      <c r="D237" s="93"/>
      <c r="E237" s="96"/>
      <c r="H237" s="98"/>
      <c r="I237" s="93"/>
      <c r="J237" s="93"/>
      <c r="K237" s="93"/>
    </row>
    <row r="238" spans="2:11" x14ac:dyDescent="0.5">
      <c r="B238" s="93">
        <v>2014</v>
      </c>
      <c r="C238" s="98">
        <v>2663.5</v>
      </c>
      <c r="D238" s="93"/>
      <c r="E238" s="93"/>
      <c r="F238" s="98"/>
      <c r="G238" s="93"/>
      <c r="H238" s="93"/>
      <c r="I238" s="93"/>
      <c r="J238" s="93"/>
      <c r="K238" s="93"/>
    </row>
    <row r="239" spans="2:11" x14ac:dyDescent="0.5">
      <c r="B239" s="93">
        <v>2015</v>
      </c>
      <c r="C239" s="98">
        <v>2921.8</v>
      </c>
      <c r="D239" s="93"/>
      <c r="E239" s="93"/>
      <c r="F239" s="93"/>
      <c r="G239" s="93"/>
      <c r="H239" s="93"/>
      <c r="I239" s="93"/>
      <c r="J239" s="93"/>
      <c r="K239" s="93"/>
    </row>
    <row r="240" spans="2:11" x14ac:dyDescent="0.5">
      <c r="B240" s="93">
        <v>2016</v>
      </c>
      <c r="C240" s="98">
        <v>2998.9</v>
      </c>
      <c r="D240" s="93"/>
      <c r="E240" s="93"/>
      <c r="F240" s="93"/>
      <c r="G240" s="93"/>
      <c r="H240" s="93"/>
      <c r="I240" s="93"/>
      <c r="J240" s="93"/>
      <c r="K240" s="93"/>
    </row>
    <row r="241" spans="1:61" x14ac:dyDescent="0.5">
      <c r="B241" s="93">
        <v>2017</v>
      </c>
      <c r="C241" s="98">
        <v>2971.4</v>
      </c>
      <c r="D241" s="93"/>
      <c r="E241" s="93"/>
      <c r="F241" s="93"/>
      <c r="G241" s="93"/>
      <c r="H241" s="93"/>
      <c r="I241" s="93"/>
      <c r="J241" s="93"/>
      <c r="K241" s="93"/>
    </row>
    <row r="242" spans="1:61" s="91" customFormat="1" x14ac:dyDescent="0.5">
      <c r="A242" s="32"/>
      <c r="B242" s="93">
        <v>2018</v>
      </c>
      <c r="C242" s="98">
        <v>2887.5</v>
      </c>
      <c r="D242" s="93"/>
      <c r="E242" s="93"/>
      <c r="F242" s="93"/>
      <c r="G242" s="93"/>
      <c r="H242" s="93"/>
      <c r="I242" s="93"/>
      <c r="J242" s="93"/>
      <c r="K242" s="93"/>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row>
    <row r="243" spans="1:61" x14ac:dyDescent="0.5">
      <c r="B243" s="93">
        <v>2019</v>
      </c>
      <c r="C243" s="98">
        <v>2847.3</v>
      </c>
      <c r="D243" s="93"/>
      <c r="E243" s="93"/>
      <c r="F243" s="93"/>
      <c r="G243" s="93"/>
      <c r="H243" s="93"/>
      <c r="I243" s="93"/>
      <c r="J243" s="93"/>
      <c r="K243" s="93"/>
    </row>
    <row r="244" spans="1:61" x14ac:dyDescent="0.5">
      <c r="B244" s="93">
        <v>2020</v>
      </c>
      <c r="C244" s="98">
        <v>2714.5</v>
      </c>
      <c r="D244" s="93"/>
      <c r="E244" s="93"/>
      <c r="F244" s="93"/>
      <c r="G244" s="93"/>
      <c r="H244" s="93"/>
      <c r="I244" s="93"/>
      <c r="J244" s="93"/>
      <c r="K244" s="93"/>
    </row>
    <row r="245" spans="1:61" x14ac:dyDescent="0.5">
      <c r="B245" s="93">
        <v>2021</v>
      </c>
      <c r="C245" s="98">
        <v>3098.4</v>
      </c>
      <c r="D245" s="93"/>
      <c r="E245" s="93"/>
      <c r="F245" s="93"/>
      <c r="G245" s="93"/>
      <c r="H245" s="93"/>
      <c r="I245" s="93"/>
      <c r="J245" s="93"/>
      <c r="K245" s="93"/>
    </row>
    <row r="246" spans="1:61" x14ac:dyDescent="0.5">
      <c r="B246" s="93">
        <v>2022</v>
      </c>
      <c r="C246" s="93" t="s">
        <v>7</v>
      </c>
      <c r="D246" s="93"/>
      <c r="E246" s="93"/>
      <c r="F246" s="93"/>
      <c r="G246" s="93"/>
      <c r="H246" s="93"/>
      <c r="I246" s="93"/>
      <c r="J246" s="93"/>
      <c r="K246" s="93"/>
    </row>
    <row r="247" spans="1:61" x14ac:dyDescent="0.5">
      <c r="B247" s="93">
        <v>2023</v>
      </c>
      <c r="C247" s="93" t="s">
        <v>7</v>
      </c>
      <c r="D247" s="93"/>
      <c r="E247" s="93"/>
      <c r="F247" s="93"/>
      <c r="G247" s="93"/>
      <c r="H247" s="93"/>
      <c r="I247" s="93"/>
      <c r="J247" s="93"/>
      <c r="K247" s="93"/>
    </row>
    <row r="248" spans="1:61" x14ac:dyDescent="0.5">
      <c r="B248" s="93">
        <v>2024</v>
      </c>
      <c r="C248" s="93" t="s">
        <v>7</v>
      </c>
      <c r="D248" s="93"/>
      <c r="E248" s="93"/>
      <c r="F248" s="93"/>
      <c r="G248" s="93"/>
      <c r="H248" s="93"/>
      <c r="I248" s="93"/>
      <c r="J248" s="93"/>
      <c r="K248" s="93"/>
    </row>
    <row r="249" spans="1:61" x14ac:dyDescent="0.5">
      <c r="B249" s="93"/>
      <c r="C249" s="93"/>
      <c r="D249" s="93"/>
      <c r="E249" s="93"/>
      <c r="F249" s="93"/>
      <c r="G249" s="93"/>
      <c r="H249" s="93"/>
      <c r="I249" s="93"/>
      <c r="J249" s="93"/>
      <c r="K249" s="93"/>
    </row>
    <row r="250" spans="1:61" x14ac:dyDescent="0.5">
      <c r="B250" s="93" t="s">
        <v>8</v>
      </c>
      <c r="C250" s="98">
        <v>2957</v>
      </c>
      <c r="D250" s="96" t="s">
        <v>296</v>
      </c>
      <c r="E250" s="93"/>
      <c r="F250" s="93"/>
      <c r="G250" s="93"/>
      <c r="H250" s="93"/>
      <c r="I250" s="93"/>
      <c r="J250" s="93"/>
      <c r="K250" s="93"/>
    </row>
    <row r="251" spans="1:61" x14ac:dyDescent="0.5">
      <c r="B251" s="92" t="s">
        <v>297</v>
      </c>
      <c r="D251" s="93"/>
      <c r="E251" s="93"/>
      <c r="F251" s="93"/>
      <c r="G251" s="93"/>
      <c r="H251" s="93"/>
      <c r="I251" s="93"/>
      <c r="J251" s="93"/>
      <c r="K251" s="93"/>
    </row>
    <row r="254" spans="1:61" x14ac:dyDescent="0.5">
      <c r="B254" s="51" t="s">
        <v>39</v>
      </c>
    </row>
    <row r="255" spans="1:61" x14ac:dyDescent="0.5">
      <c r="B255" s="32" t="s">
        <v>28</v>
      </c>
      <c r="E255" s="32">
        <v>11.02</v>
      </c>
      <c r="F255" s="32" t="s">
        <v>64</v>
      </c>
    </row>
    <row r="256" spans="1:61" x14ac:dyDescent="0.5">
      <c r="B256" s="32" t="s">
        <v>72</v>
      </c>
      <c r="E256" s="32">
        <v>4.8600000000000003</v>
      </c>
      <c r="F256" s="32" t="s">
        <v>73</v>
      </c>
    </row>
    <row r="257" spans="2:4" x14ac:dyDescent="0.5">
      <c r="B257" s="21" t="s">
        <v>38</v>
      </c>
    </row>
    <row r="260" spans="2:4" x14ac:dyDescent="0.5">
      <c r="B260" s="51" t="s">
        <v>43</v>
      </c>
    </row>
    <row r="261" spans="2:4" x14ac:dyDescent="0.5">
      <c r="B261" s="32" t="s">
        <v>15</v>
      </c>
      <c r="D261" s="32" t="s">
        <v>18</v>
      </c>
    </row>
    <row r="262" spans="2:4" x14ac:dyDescent="0.5">
      <c r="B262" s="32" t="s">
        <v>4</v>
      </c>
      <c r="D262" s="32" t="s">
        <v>19</v>
      </c>
    </row>
  </sheetData>
  <sheetProtection algorithmName="SHA-512" hashValue="uTaTj308CNxDiBB4Q33MjSjYCvzNdqQT56Hg1i5rLk1uv9xngWIOti+BACeyU9VeOAD1b0Gi1e8XFMvBRrAoFw==" saltValue="qIcZKQxVGEgKRYEKsEO+mA==" spinCount="100000" sheet="1" objects="1" scenarios="1"/>
  <mergeCells count="3">
    <mergeCell ref="B128:K129"/>
    <mergeCell ref="B123:K123"/>
    <mergeCell ref="B191:I198"/>
  </mergeCells>
  <hyperlinks>
    <hyperlink ref="C108" r:id="rId1" xr:uid="{73E2C7AA-4526-4D03-882D-3A5A67FA3570}"/>
    <hyperlink ref="N9" r:id="rId2" xr:uid="{60FACF01-A6B1-4D69-A116-53DB16AE74AE}"/>
    <hyperlink ref="B76" r:id="rId3" xr:uid="{46D0320A-6C2E-43A7-8AA8-5A21344BA99C}"/>
    <hyperlink ref="P46" r:id="rId4" xr:uid="{0C20A42B-3AD2-4D6E-AB5A-713C9E320C01}"/>
    <hyperlink ref="P54" r:id="rId5" xr:uid="{DF38790B-C197-436F-A758-3A09C77634C7}"/>
    <hyperlink ref="E74" r:id="rId6" xr:uid="{C7356793-4843-41FE-B2FA-737CA1886C74}"/>
    <hyperlink ref="K66" r:id="rId7" xr:uid="{C9528163-B17D-4D38-BD4B-916CC85EE33D}"/>
    <hyperlink ref="B214" r:id="rId8" xr:uid="{69897B1E-1266-45CF-837F-21D52C22F503}"/>
    <hyperlink ref="B162" r:id="rId9" xr:uid="{3BC37115-DEDB-4C5F-879F-BA7C7C10CAA4}"/>
    <hyperlink ref="B165" r:id="rId10" xr:uid="{654030F0-8754-4B09-8D71-A124BBF42E8A}"/>
    <hyperlink ref="D199" r:id="rId11" display="https://www.billigventilation.dk/shop/bosch-compress-7000i-aw-13-4689p.html" xr:uid="{AAEEEFF5-65AE-4024-A13F-A3F76A2B9C76}"/>
    <hyperlink ref="B220" r:id="rId12" xr:uid="{C57E4306-83DC-4E39-9971-52DFE88FE70E}"/>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328125" defaultRowHeight="14.25" x14ac:dyDescent="0.45"/>
  <cols>
    <col min="1" max="1" width="3.3984375" style="61" customWidth="1"/>
    <col min="2" max="2" width="5.73046875" style="61" customWidth="1"/>
    <col min="3" max="3" width="20.3984375" style="61" customWidth="1"/>
    <col min="4" max="4" width="16.265625" style="61" customWidth="1"/>
    <col min="5" max="5" width="16.1328125" style="61" customWidth="1"/>
    <col min="6" max="6" width="15.265625" style="61" customWidth="1"/>
    <col min="7" max="7" width="12.86328125" style="61" customWidth="1"/>
    <col min="8" max="8" width="22.86328125" style="61" customWidth="1"/>
    <col min="9" max="9" width="48.59765625" style="61" customWidth="1"/>
    <col min="10" max="10" width="49.3984375" style="61" customWidth="1"/>
    <col min="11" max="16384" width="9.1328125" style="61"/>
  </cols>
  <sheetData>
    <row r="2" spans="2:10" ht="15" customHeight="1" x14ac:dyDescent="0.45">
      <c r="C2" s="201" t="s">
        <v>58</v>
      </c>
      <c r="D2" s="201"/>
      <c r="E2" s="201"/>
      <c r="F2" s="201"/>
    </row>
    <row r="3" spans="2:10" ht="15" customHeight="1" x14ac:dyDescent="0.45">
      <c r="B3" s="73"/>
      <c r="C3" s="201"/>
      <c r="D3" s="201"/>
      <c r="E3" s="201"/>
      <c r="F3" s="201"/>
    </row>
    <row r="4" spans="2:10" x14ac:dyDescent="0.45">
      <c r="F4" s="62"/>
    </row>
    <row r="5" spans="2:10" ht="21" customHeight="1" x14ac:dyDescent="0.5">
      <c r="C5" s="202" t="s">
        <v>232</v>
      </c>
      <c r="D5" s="202"/>
      <c r="E5" s="202"/>
      <c r="F5" s="202"/>
    </row>
    <row r="6" spans="2:10" ht="31.5" customHeight="1" x14ac:dyDescent="0.5">
      <c r="B6" s="77" t="s">
        <v>0</v>
      </c>
      <c r="C6" s="60" t="s">
        <v>3</v>
      </c>
      <c r="D6" s="59" t="s">
        <v>47</v>
      </c>
      <c r="E6" s="60" t="str">
        <f>IF(Prisberegner!$E$133="Ja","Varmepumpe","")</f>
        <v/>
      </c>
      <c r="F6" s="78" t="str">
        <f>IF(Prisberegner!$E$158="Ja","Træpillekedel","")</f>
        <v/>
      </c>
      <c r="G6" s="8" t="s">
        <v>283</v>
      </c>
      <c r="I6" s="165" t="s">
        <v>287</v>
      </c>
      <c r="J6" s="166"/>
    </row>
    <row r="7" spans="2:10" x14ac:dyDescent="0.45">
      <c r="B7" s="67">
        <v>1</v>
      </c>
      <c r="C7" s="68">
        <f>IF(B7&lt;Prisberegner!$E$50+1,Prisberegner!$E$47,IF(Prisberegner!$E$52&gt;0,Prisberegner!$E$55,Prisberegner!$E$47))</f>
        <v>14739.984508133231</v>
      </c>
      <c r="D7" s="147">
        <f>Prisberegner!$E$106+IF(B7&gt;Prisberegner!$E$92,-Prisberegner!$E$93,0)+IF(AND(B7&gt;Prisberegner!$E$98,Prisberegner!$E$102&gt;0),-(Prisberegner!$E$99-Prisberegner!$E$103),0)+IF(AND(Prisberegner!$D$82="Ja",'Tabel resultat'!B7&gt;Prisberegner!$E$83),-Prisberegner!$E$82*12,0)-IF(AND(Prisberegner!$E$98=1,B7&gt;1),Prisberegner!$E$99,0)</f>
        <v>14067.494634650142</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8">
        <f>C7-D7</f>
        <v>672.48987348308947</v>
      </c>
      <c r="I7" s="167"/>
      <c r="J7" s="168"/>
    </row>
    <row r="8" spans="2:10" x14ac:dyDescent="0.45">
      <c r="B8" s="67">
        <v>2</v>
      </c>
      <c r="C8" s="68">
        <f>IF(B8&lt;Prisberegner!$E$50+1,Prisberegner!$E$47,IF(Prisberegner!$E$52&gt;0,Prisberegner!$E$55,Prisberegner!$E$47))</f>
        <v>14739.984508133231</v>
      </c>
      <c r="D8" s="147">
        <f>Prisberegner!$E$106+IF(B8&gt;Prisberegner!$E$92,-Prisberegner!$E$93,0)+IF(AND(B8&gt;Prisberegner!$E$98,Prisberegner!$E$102&gt;0),-(Prisberegner!$E$99-Prisberegner!$E$103),0)+IF(AND(Prisberegner!$D$82="Ja",'Tabel resultat'!B8&gt;Prisberegner!$E$83),-Prisberegner!$E$82*12,0)-IF(AND(Prisberegner!$E$98=1,B8&gt;1),Prisberegner!$E$99,0)</f>
        <v>14067.494634650142</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8">
        <f t="shared" ref="G8:G56" si="0">C8-D8</f>
        <v>672.48987348308947</v>
      </c>
      <c r="I8" s="167" t="s">
        <v>280</v>
      </c>
      <c r="J8" s="169">
        <f>Prisberegner!E83</f>
        <v>10</v>
      </c>
    </row>
    <row r="9" spans="2:10" x14ac:dyDescent="0.45">
      <c r="B9" s="67">
        <v>3</v>
      </c>
      <c r="C9" s="68">
        <f>IF(B9&lt;Prisberegner!$E$50+1,Prisberegner!$E$47,IF(Prisberegner!$E$52&gt;0,Prisberegner!$E$55,Prisberegner!$E$47))</f>
        <v>14739.984508133231</v>
      </c>
      <c r="D9" s="147">
        <f>Prisberegner!$E$106+IF(B9&gt;Prisberegner!$E$92,-Prisberegner!$E$93,0)+IF(AND(B9&gt;Prisberegner!$E$98,Prisberegner!$E$102&gt;0),-(Prisberegner!$E$99-Prisberegner!$E$103),0)+IF(AND(Prisberegner!$D$82="Ja",'Tabel resultat'!B9&gt;Prisberegner!$E$83),-Prisberegner!$E$82*12,0)-IF(AND(Prisberegner!$E$98=1,B9&gt;1),Prisberegner!$E$99,0)</f>
        <v>14067.494634650142</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8">
        <f t="shared" si="0"/>
        <v>672.48987348308947</v>
      </c>
      <c r="I9" s="170" t="s">
        <v>226</v>
      </c>
      <c r="J9" s="169">
        <f>Prisberegner!E92</f>
        <v>30</v>
      </c>
    </row>
    <row r="10" spans="2:10" x14ac:dyDescent="0.45">
      <c r="B10" s="67">
        <v>4</v>
      </c>
      <c r="C10" s="68">
        <f>IF(B10&lt;Prisberegner!$E$50+1,Prisberegner!$E$47,IF(Prisberegner!$E$52&gt;0,Prisberegner!$E$55,Prisberegner!$E$47))</f>
        <v>14739.984508133231</v>
      </c>
      <c r="D10" s="147">
        <f>Prisberegner!$E$106+IF(B10&gt;Prisberegner!$E$92,-Prisberegner!$E$93,0)+IF(AND(B10&gt;Prisberegner!$E$98,Prisberegner!$E$102&gt;0),-(Prisberegner!$E$99-Prisberegner!$E$103),0)+IF(AND(Prisberegner!$D$82="Ja",'Tabel resultat'!B10&gt;Prisberegner!$E$83),-Prisberegner!$E$82*12,0)-IF(AND(Prisberegner!$E$98=1,B10&gt;1),Prisberegner!$E$99,0)</f>
        <v>14067.494634650142</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8">
        <f t="shared" si="0"/>
        <v>672.48987348308947</v>
      </c>
      <c r="I10" s="170" t="s">
        <v>224</v>
      </c>
      <c r="J10" s="169">
        <f>Prisberegner!E98</f>
        <v>25</v>
      </c>
    </row>
    <row r="11" spans="2:10" x14ac:dyDescent="0.45">
      <c r="B11" s="67">
        <v>5</v>
      </c>
      <c r="C11" s="68">
        <f>IF(B11&lt;Prisberegner!$E$50+1,Prisberegner!$E$47,IF(Prisberegner!$E$52&gt;0,Prisberegner!$E$55,Prisberegner!$E$47))</f>
        <v>14739.984508133231</v>
      </c>
      <c r="D11" s="147">
        <f>Prisberegner!$E$106+IF(B11&gt;Prisberegner!$E$92,-Prisberegner!$E$93,0)+IF(AND(B11&gt;Prisberegner!$E$98,Prisberegner!$E$102&gt;0),-(Prisberegner!$E$99-Prisberegner!$E$103),0)+IF(AND(Prisberegner!$D$82="Ja",'Tabel resultat'!B11&gt;Prisberegner!$E$83),-Prisberegner!$E$82*12,0)-IF(AND(Prisberegner!$E$98=1,B11&gt;1),Prisberegner!$E$99,0)</f>
        <v>14067.494634650142</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8">
        <f t="shared" si="0"/>
        <v>672.48987348308947</v>
      </c>
      <c r="I11" s="170" t="s">
        <v>284</v>
      </c>
      <c r="J11" s="169">
        <f>Prisberegner!E50</f>
        <v>5</v>
      </c>
    </row>
    <row r="12" spans="2:10" x14ac:dyDescent="0.45">
      <c r="B12" s="67">
        <v>6</v>
      </c>
      <c r="C12" s="68">
        <f>IF(B12&lt;Prisberegner!$E$50+1,Prisberegner!$E$47,IF(Prisberegner!$E$52&gt;0,Prisberegner!$E$55,Prisberegner!$E$47))</f>
        <v>17092.534274023299</v>
      </c>
      <c r="D12" s="147">
        <f>Prisberegner!$E$106+IF(B12&gt;Prisberegner!$E$92,-Prisberegner!$E$93,0)+IF(AND(B12&gt;Prisberegner!$E$98,Prisberegner!$E$102&gt;0),-(Prisberegner!$E$99-Prisberegner!$E$103),0)+IF(AND(Prisberegner!$D$82="Ja",'Tabel resultat'!B12&gt;Prisberegner!$E$83),-Prisberegner!$E$82*12,0)-IF(AND(Prisberegner!$E$98=1,B12&gt;1),Prisberegner!$E$99,0)</f>
        <v>14067.494634650142</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8">
        <f t="shared" si="0"/>
        <v>3025.0396393731571</v>
      </c>
      <c r="I12" s="167"/>
      <c r="J12" s="168"/>
    </row>
    <row r="13" spans="2:10" x14ac:dyDescent="0.45">
      <c r="B13" s="67">
        <v>7</v>
      </c>
      <c r="C13" s="68">
        <f>IF(B13&lt;Prisberegner!$E$50+1,Prisberegner!$E$47,IF(Prisberegner!$E$52&gt;0,Prisberegner!$E$55,Prisberegner!$E$47))</f>
        <v>17092.534274023299</v>
      </c>
      <c r="D13" s="147">
        <f>Prisberegner!$E$106+IF(B13&gt;Prisberegner!$E$92,-Prisberegner!$E$93,0)+IF(AND(B13&gt;Prisberegner!$E$98,Prisberegner!$E$102&gt;0),-(Prisberegner!$E$99-Prisberegner!$E$103),0)+IF(AND(Prisberegner!$D$82="Ja",'Tabel resultat'!B13&gt;Prisberegner!$E$83),-Prisberegner!$E$82*12,0)-IF(AND(Prisberegner!$E$98=1,B13&gt;1),Prisberegner!$E$99,0)</f>
        <v>14067.494634650142</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8">
        <f t="shared" si="0"/>
        <v>3025.0396393731571</v>
      </c>
      <c r="I13" s="167"/>
      <c r="J13" s="168"/>
    </row>
    <row r="14" spans="2:10" x14ac:dyDescent="0.45">
      <c r="B14" s="67">
        <v>8</v>
      </c>
      <c r="C14" s="68">
        <f>IF(B14&lt;Prisberegner!$E$50+1,Prisberegner!$E$47,IF(Prisberegner!$E$52&gt;0,Prisberegner!$E$55,Prisberegner!$E$47))</f>
        <v>17092.534274023299</v>
      </c>
      <c r="D14" s="147">
        <f>Prisberegner!$E$106+IF(B14&gt;Prisberegner!$E$92,-Prisberegner!$E$93,0)+IF(AND(B14&gt;Prisberegner!$E$98,Prisberegner!$E$102&gt;0),-(Prisberegner!$E$99-Prisberegner!$E$103),0)+IF(AND(Prisberegner!$D$82="Ja",'Tabel resultat'!B14&gt;Prisberegner!$E$83),-Prisberegner!$E$82*12,0)-IF(AND(Prisberegner!$E$98=1,B14&gt;1),Prisberegner!$E$99,0)</f>
        <v>14067.494634650142</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8">
        <f t="shared" si="0"/>
        <v>3025.0396393731571</v>
      </c>
      <c r="I14" s="167" t="s">
        <v>279</v>
      </c>
      <c r="J14" s="168"/>
    </row>
    <row r="15" spans="2:10" x14ac:dyDescent="0.45">
      <c r="B15" s="67">
        <v>9</v>
      </c>
      <c r="C15" s="68">
        <f>IF(B15&lt;Prisberegner!$E$50+1,Prisberegner!$E$47,IF(Prisberegner!$E$52&gt;0,Prisberegner!$E$55,Prisberegner!$E$47))</f>
        <v>17092.534274023299</v>
      </c>
      <c r="D15" s="147">
        <f>Prisberegner!$E$106+IF(B15&gt;Prisberegner!$E$92,-Prisberegner!$E$93,0)+IF(AND(B15&gt;Prisberegner!$E$98,Prisberegner!$E$102&gt;0),-(Prisberegner!$E$99-Prisberegner!$E$103),0)+IF(AND(Prisberegner!$D$82="Ja",'Tabel resultat'!B15&gt;Prisberegner!$E$83),-Prisberegner!$E$82*12,0)-IF(AND(Prisberegner!$E$98=1,B15&gt;1),Prisberegner!$E$99,0)</f>
        <v>14067.494634650142</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8">
        <f t="shared" si="0"/>
        <v>3025.0396393731571</v>
      </c>
      <c r="I15" s="171">
        <f>D7</f>
        <v>14067.494634650142</v>
      </c>
      <c r="J15" s="168" t="s">
        <v>281</v>
      </c>
    </row>
    <row r="16" spans="2:10" x14ac:dyDescent="0.45">
      <c r="B16" s="67">
        <v>10</v>
      </c>
      <c r="C16" s="68">
        <f>IF(B16&lt;Prisberegner!$E$50+1,Prisberegner!$E$47,IF(Prisberegner!$E$52&gt;0,Prisberegner!$E$55,Prisberegner!$E$47))</f>
        <v>17092.534274023299</v>
      </c>
      <c r="D16" s="147">
        <f>Prisberegner!$E$106+IF(B16&gt;Prisberegner!$E$92,-Prisberegner!$E$93,0)+IF(AND(B16&gt;Prisberegner!$E$98,Prisberegner!$E$102&gt;0),-(Prisberegner!$E$99-Prisberegner!$E$103),0)+IF(AND(Prisberegner!$D$82="Ja",'Tabel resultat'!B16&gt;Prisberegner!$E$83),-Prisberegner!$E$82*12,0)-IF(AND(Prisberegner!$E$98=1,B16&gt;1),Prisberegner!$E$99,0)</f>
        <v>14067.494634650142</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8">
        <f t="shared" si="0"/>
        <v>3025.0396393731571</v>
      </c>
      <c r="I16" s="171" cm="1">
        <f t="array" aca="1" ref="I16" ca="1">IF(Prisberegner!$D$82="Nej",,INDIRECT(ADDRESS($J$8+7,4)))</f>
        <v>12267.494634650142</v>
      </c>
      <c r="J16" s="168" t="str">
        <f>IF(Prisberegner!$D$82="Nej","","Efter udløb af tillæg om "&amp;Prisberegner!$E$83&amp;" år")</f>
        <v>Efter udløb af tillæg om 10 år</v>
      </c>
    </row>
    <row r="17" spans="2:10" x14ac:dyDescent="0.45">
      <c r="B17" s="67">
        <v>11</v>
      </c>
      <c r="C17" s="68">
        <f>IF(B17&lt;Prisberegner!$E$50+1,Prisberegner!$E$47,IF(Prisberegner!$E$52&gt;0,Prisberegner!$E$55,Prisberegner!$E$47))</f>
        <v>17092.534274023299</v>
      </c>
      <c r="D17" s="147">
        <f>Prisberegner!$E$106+IF(B17&gt;Prisberegner!$E$92,-Prisberegner!$E$93,0)+IF(AND(B17&gt;Prisberegner!$E$98,Prisberegner!$E$102&gt;0),-(Prisberegner!$E$99-Prisberegner!$E$103),0)+IF(AND(Prisberegner!$D$82="Ja",'Tabel resultat'!B17&gt;Prisberegner!$E$83),-Prisberegner!$E$82*12,0)-IF(AND(Prisberegner!$E$98=1,B17&gt;1),Prisberegner!$E$99,0)</f>
        <v>12267.494634650142</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8">
        <f t="shared" si="0"/>
        <v>4825.0396393731571</v>
      </c>
      <c r="I17" s="171" cm="1">
        <f t="array" aca="1" ref="I17" ca="1">IF(Prisberegner!$E$92=0,,INDIRECT(ADDRESS($J$9+7,4)))</f>
        <v>12267.494634650142</v>
      </c>
      <c r="J17" s="168" t="str">
        <f>IF(Prisberegner!$E$92=0,"","Efter afskrevne tilslutningsbidrag om " &amp;Prisberegner!$E$92&amp;" år")</f>
        <v>Efter afskrevne tilslutningsbidrag om 30 år</v>
      </c>
    </row>
    <row r="18" spans="2:10" x14ac:dyDescent="0.45">
      <c r="B18" s="67">
        <v>12</v>
      </c>
      <c r="C18" s="68">
        <f>IF(B18&lt;Prisberegner!$E$50+1,Prisberegner!$E$47,IF(Prisberegner!$E$52&gt;0,Prisberegner!$E$55,Prisberegner!$E$47))</f>
        <v>17092.534274023299</v>
      </c>
      <c r="D18" s="147">
        <f>Prisberegner!$E$106+IF(B18&gt;Prisberegner!$E$92,-Prisberegner!$E$93,0)+IF(AND(B18&gt;Prisberegner!$E$98,Prisberegner!$E$102&gt;0),-(Prisberegner!$E$99-Prisberegner!$E$103),0)+IF(AND(Prisberegner!$D$82="Ja",'Tabel resultat'!B18&gt;Prisberegner!$E$83),-Prisberegner!$E$82*12,0)-IF(AND(Prisberegner!$E$98=1,B18&gt;1),Prisberegner!$E$99,0)</f>
        <v>12267.494634650142</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8">
        <f t="shared" si="0"/>
        <v>4825.0396393731571</v>
      </c>
      <c r="I18" s="171" cm="1">
        <f t="array" aca="1" ref="I18" ca="1">IF(Prisberegner!$E$98=0,,INDIRECT(ADDRESS($J$10+7,4)))</f>
        <v>12267.494634650142</v>
      </c>
      <c r="J18" s="168" t="str">
        <f>IF(Prisberegner!$E$98=0,"","Efter levetidsforlængelse eller ny unit om "&amp;Prisberegner!$E$98&amp;" år")</f>
        <v>Efter levetidsforlængelse eller ny unit om 25 år</v>
      </c>
    </row>
    <row r="19" spans="2:10" x14ac:dyDescent="0.45">
      <c r="B19" s="67">
        <v>13</v>
      </c>
      <c r="C19" s="68">
        <f>IF(B19&lt;Prisberegner!$E$50+1,Prisberegner!$E$47,IF(Prisberegner!$E$52&gt;0,Prisberegner!$E$55,Prisberegner!$E$47))</f>
        <v>17092.534274023299</v>
      </c>
      <c r="D19" s="147">
        <f>Prisberegner!$E$106+IF(B19&gt;Prisberegner!$E$92,-Prisberegner!$E$93,0)+IF(AND(B19&gt;Prisberegner!$E$98,Prisberegner!$E$102&gt;0),-(Prisberegner!$E$99-Prisberegner!$E$103),0)+IF(AND(Prisberegner!$D$82="Ja",'Tabel resultat'!B19&gt;Prisberegner!$E$83),-Prisberegner!$E$82*12,0)-IF(AND(Prisberegner!$E$98=1,B19&gt;1),Prisberegner!$E$99,0)</f>
        <v>12267.494634650142</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8">
        <f t="shared" si="0"/>
        <v>4825.0396393731571</v>
      </c>
      <c r="I19" s="167"/>
      <c r="J19" s="168"/>
    </row>
    <row r="20" spans="2:10" x14ac:dyDescent="0.45">
      <c r="B20" s="67">
        <v>14</v>
      </c>
      <c r="C20" s="68">
        <f>IF(B20&lt;Prisberegner!$E$50+1,Prisberegner!$E$47,IF(Prisberegner!$E$52&gt;0,Prisberegner!$E$55,Prisberegner!$E$47))</f>
        <v>17092.534274023299</v>
      </c>
      <c r="D20" s="147">
        <f>Prisberegner!$E$106+IF(B20&gt;Prisberegner!$E$92,-Prisberegner!$E$93,0)+IF(AND(B20&gt;Prisberegner!$E$98,Prisberegner!$E$102&gt;0),-(Prisberegner!$E$99-Prisberegner!$E$103),0)+IF(AND(Prisberegner!$D$82="Ja",'Tabel resultat'!B20&gt;Prisberegner!$E$83),-Prisberegner!$E$82*12,0)-IF(AND(Prisberegner!$E$98=1,B20&gt;1),Prisberegner!$E$99,0)</f>
        <v>12267.494634650142</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8">
        <f t="shared" si="0"/>
        <v>4825.0396393731571</v>
      </c>
      <c r="I20" s="172">
        <f>I15</f>
        <v>14067.494634650142</v>
      </c>
      <c r="J20" s="173" t="str">
        <f>J15</f>
        <v>Ved tilslutning (år 1)</v>
      </c>
    </row>
    <row r="21" spans="2:10" x14ac:dyDescent="0.45">
      <c r="B21" s="67">
        <v>15</v>
      </c>
      <c r="C21" s="68">
        <f>IF(B21&lt;Prisberegner!$E$50+1,Prisberegner!$E$47,IF(Prisberegner!$E$52&gt;0,Prisberegner!$E$55,Prisberegner!$E$47))</f>
        <v>17092.534274023299</v>
      </c>
      <c r="D21" s="147">
        <f>Prisberegner!$E$106+IF(B21&gt;Prisberegner!$E$92,-Prisberegner!$E$93,0)+IF(AND(B21&gt;Prisberegner!$E$98,Prisberegner!$E$102&gt;0),-(Prisberegner!$E$99-Prisberegner!$E$103),0)+IF(AND(Prisberegner!$D$82="Ja",'Tabel resultat'!B21&gt;Prisberegner!$E$83),-Prisberegner!$E$82*12,0)-IF(AND(Prisberegner!$E$98=1,B21&gt;1),Prisberegner!$E$99,0)</f>
        <v>12267.494634650142</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8">
        <f t="shared" si="0"/>
        <v>4825.0396393731571</v>
      </c>
      <c r="I21" s="172" cm="1">
        <f t="array" aca="1" ref="I21:J23" ca="1">_xlfn._xlws.SORT(I16:J18,1,-1)</f>
        <v>12267.494634650142</v>
      </c>
      <c r="J21" s="173" t="str">
        <f ca="1"/>
        <v>Efter udløb af tillæg om 10 år</v>
      </c>
    </row>
    <row r="22" spans="2:10" x14ac:dyDescent="0.45">
      <c r="B22" s="67">
        <v>16</v>
      </c>
      <c r="C22" s="68">
        <f>IF(B22&lt;Prisberegner!$E$50+1,Prisberegner!$E$47,IF(Prisberegner!$E$52&gt;0,Prisberegner!$E$55,Prisberegner!$E$47))</f>
        <v>17092.534274023299</v>
      </c>
      <c r="D22" s="147">
        <f>Prisberegner!$E$106+IF(B22&gt;Prisberegner!$E$92,-Prisberegner!$E$93,0)+IF(AND(B22&gt;Prisberegner!$E$98,Prisberegner!$E$102&gt;0),-(Prisberegner!$E$99-Prisberegner!$E$103),0)+IF(AND(Prisberegner!$D$82="Ja",'Tabel resultat'!B22&gt;Prisberegner!$E$83),-Prisberegner!$E$82*12,0)-IF(AND(Prisberegner!$E$98=1,B22&gt;1),Prisberegner!$E$99,0)</f>
        <v>12267.494634650142</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8">
        <f t="shared" si="0"/>
        <v>4825.0396393731571</v>
      </c>
      <c r="I22" s="172">
        <f ca="1"/>
        <v>12267.494634650142</v>
      </c>
      <c r="J22" s="173" t="str">
        <f ca="1"/>
        <v>Efter afskrevne tilslutningsbidrag om 30 år</v>
      </c>
    </row>
    <row r="23" spans="2:10" x14ac:dyDescent="0.45">
      <c r="B23" s="67">
        <v>17</v>
      </c>
      <c r="C23" s="68">
        <f>IF(B23&lt;Prisberegner!$E$50+1,Prisberegner!$E$47,IF(Prisberegner!$E$52&gt;0,Prisberegner!$E$55,Prisberegner!$E$47))</f>
        <v>17092.534274023299</v>
      </c>
      <c r="D23" s="147">
        <f>Prisberegner!$E$106+IF(B23&gt;Prisberegner!$E$92,-Prisberegner!$E$93,0)+IF(AND(B23&gt;Prisberegner!$E$98,Prisberegner!$E$102&gt;0),-(Prisberegner!$E$99-Prisberegner!$E$103),0)+IF(AND(Prisberegner!$D$82="Ja",'Tabel resultat'!B23&gt;Prisberegner!$E$83),-Prisberegner!$E$82*12,0)-IF(AND(Prisberegner!$E$98=1,B23&gt;1),Prisberegner!$E$99,0)</f>
        <v>12267.494634650142</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8">
        <f t="shared" si="0"/>
        <v>4825.0396393731571</v>
      </c>
      <c r="I23" s="172">
        <f ca="1"/>
        <v>12267.494634650142</v>
      </c>
      <c r="J23" s="173" t="str">
        <f ca="1"/>
        <v>Efter levetidsforlængelse eller ny unit om 25 år</v>
      </c>
    </row>
    <row r="24" spans="2:10" x14ac:dyDescent="0.45">
      <c r="B24" s="67">
        <v>18</v>
      </c>
      <c r="C24" s="68">
        <f>IF(B24&lt;Prisberegner!$E$50+1,Prisberegner!$E$47,IF(Prisberegner!$E$52&gt;0,Prisberegner!$E$55,Prisberegner!$E$47))</f>
        <v>17092.534274023299</v>
      </c>
      <c r="D24" s="147">
        <f>Prisberegner!$E$106+IF(B24&gt;Prisberegner!$E$92,-Prisberegner!$E$93,0)+IF(AND(B24&gt;Prisberegner!$E$98,Prisberegner!$E$102&gt;0),-(Prisberegner!$E$99-Prisberegner!$E$103),0)+IF(AND(Prisberegner!$D$82="Ja",'Tabel resultat'!B24&gt;Prisberegner!$E$83),-Prisberegner!$E$82*12,0)-IF(AND(Prisberegner!$E$98=1,B24&gt;1),Prisberegner!$E$99,0)</f>
        <v>12267.494634650142</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8">
        <f t="shared" si="0"/>
        <v>4825.0396393731571</v>
      </c>
      <c r="I24" s="172"/>
      <c r="J24" s="174"/>
    </row>
    <row r="25" spans="2:10" x14ac:dyDescent="0.45">
      <c r="B25" s="67">
        <v>19</v>
      </c>
      <c r="C25" s="68">
        <f>IF(B25&lt;Prisberegner!$E$50+1,Prisberegner!$E$47,IF(Prisberegner!$E$52&gt;0,Prisberegner!$E$55,Prisberegner!$E$47))</f>
        <v>17092.534274023299</v>
      </c>
      <c r="D25" s="147">
        <f>Prisberegner!$E$106+IF(B25&gt;Prisberegner!$E$92,-Prisberegner!$E$93,0)+IF(AND(B25&gt;Prisberegner!$E$98,Prisberegner!$E$102&gt;0),-(Prisberegner!$E$99-Prisberegner!$E$103),0)+IF(AND(Prisberegner!$D$82="Ja",'Tabel resultat'!B25&gt;Prisberegner!$E$83),-Prisberegner!$E$82*12,0)-IF(AND(Prisberegner!$E$98=1,B25&gt;1),Prisberegner!$E$99,0)</f>
        <v>12267.494634650142</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8">
        <f t="shared" si="0"/>
        <v>4825.0396393731571</v>
      </c>
      <c r="I25" s="167"/>
      <c r="J25" s="168"/>
    </row>
    <row r="26" spans="2:10" x14ac:dyDescent="0.45">
      <c r="B26" s="67">
        <v>20</v>
      </c>
      <c r="C26" s="68">
        <f>IF(B26&lt;Prisberegner!$E$50+1,Prisberegner!$E$47,IF(Prisberegner!$E$52&gt;0,Prisberegner!$E$55,Prisberegner!$E$47))</f>
        <v>17092.534274023299</v>
      </c>
      <c r="D26" s="147">
        <f>Prisberegner!$E$106+IF(B26&gt;Prisberegner!$E$92,-Prisberegner!$E$93,0)+IF(AND(B26&gt;Prisberegner!$E$98,Prisberegner!$E$102&gt;0),-(Prisberegner!$E$99-Prisberegner!$E$103),0)+IF(AND(Prisberegner!$D$82="Ja",'Tabel resultat'!B26&gt;Prisberegner!$E$83),-Prisberegner!$E$82*12,0)-IF(AND(Prisberegner!$E$98=1,B26&gt;1),Prisberegner!$E$99,0)</f>
        <v>12267.494634650142</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8">
        <f t="shared" si="0"/>
        <v>4825.0396393731571</v>
      </c>
      <c r="I26" s="167"/>
      <c r="J26" s="168"/>
    </row>
    <row r="27" spans="2:10" x14ac:dyDescent="0.45">
      <c r="B27" s="67">
        <v>21</v>
      </c>
      <c r="C27" s="68">
        <f>IF(B27&lt;Prisberegner!$E$50+1,Prisberegner!$E$47,IF(Prisberegner!$E$52&gt;0,Prisberegner!$E$55,Prisberegner!$E$47))</f>
        <v>17092.534274023299</v>
      </c>
      <c r="D27" s="147">
        <f>Prisberegner!$E$106+IF(B27&gt;Prisberegner!$E$92,-Prisberegner!$E$93,0)+IF(AND(B27&gt;Prisberegner!$E$98,Prisberegner!$E$102&gt;0),-(Prisberegner!$E$99-Prisberegner!$E$103),0)+IF(AND(Prisberegner!$D$82="Ja",'Tabel resultat'!B27&gt;Prisberegner!$E$83),-Prisberegner!$E$82*12,0)-IF(AND(Prisberegner!$E$98=1,B27&gt;1),Prisberegner!$E$99,0)</f>
        <v>12267.494634650142</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8">
        <f t="shared" si="0"/>
        <v>4825.0396393731571</v>
      </c>
      <c r="I27" s="167" t="s">
        <v>282</v>
      </c>
      <c r="J27" s="168"/>
    </row>
    <row r="28" spans="2:10" x14ac:dyDescent="0.45">
      <c r="B28" s="67">
        <v>22</v>
      </c>
      <c r="C28" s="68">
        <f>IF(B28&lt;Prisberegner!$E$50+1,Prisberegner!$E$47,IF(Prisberegner!$E$52&gt;0,Prisberegner!$E$55,Prisberegner!$E$47))</f>
        <v>17092.534274023299</v>
      </c>
      <c r="D28" s="147">
        <f>Prisberegner!$E$106+IF(B28&gt;Prisberegner!$E$92,-Prisberegner!$E$93,0)+IF(AND(B28&gt;Prisberegner!$E$98,Prisberegner!$E$102&gt;0),-(Prisberegner!$E$99-Prisberegner!$E$103),0)+IF(AND(Prisberegner!$D$82="Ja",'Tabel resultat'!B28&gt;Prisberegner!$E$83),-Prisberegner!$E$82*12,0)-IF(AND(Prisberegner!$E$98=1,B28&gt;1),Prisberegner!$E$99,0)</f>
        <v>12267.494634650142</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8">
        <f t="shared" si="0"/>
        <v>4825.0396393731571</v>
      </c>
      <c r="I28" s="171">
        <f>C7-D7</f>
        <v>672.48987348308947</v>
      </c>
      <c r="J28" s="168" t="s">
        <v>281</v>
      </c>
    </row>
    <row r="29" spans="2:10" x14ac:dyDescent="0.45">
      <c r="B29" s="67">
        <v>23</v>
      </c>
      <c r="C29" s="68">
        <f>IF(B29&lt;Prisberegner!$E$50+1,Prisberegner!$E$47,IF(Prisberegner!$E$52&gt;0,Prisberegner!$E$55,Prisberegner!$E$47))</f>
        <v>17092.534274023299</v>
      </c>
      <c r="D29" s="147">
        <f>Prisberegner!$E$106+IF(B29&gt;Prisberegner!$E$92,-Prisberegner!$E$93,0)+IF(AND(B29&gt;Prisberegner!$E$98,Prisberegner!$E$102&gt;0),-(Prisberegner!$E$99-Prisberegner!$E$103),0)+IF(AND(Prisberegner!$D$82="Ja",'Tabel resultat'!B29&gt;Prisberegner!$E$83),-Prisberegner!$E$82*12,0)-IF(AND(Prisberegner!$E$98=1,B29&gt;1),Prisberegner!$E$99,0)</f>
        <v>12267.494634650142</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8">
        <f t="shared" si="0"/>
        <v>4825.0396393731571</v>
      </c>
      <c r="I29" s="171" cm="1">
        <f t="array" aca="1" ref="I29" ca="1">INDIRECT(ADDRESS($J$11+7,3))-INDIRECT(ADDRESS($J$11+7,4))</f>
        <v>3025.0396393731571</v>
      </c>
      <c r="J29" s="168" t="str">
        <f>"Efter investering i ny gaskedel om "&amp;Prisberegner!$E$50&amp;" år"</f>
        <v>Efter investering i ny gaskedel om 5 år</v>
      </c>
    </row>
    <row r="30" spans="2:10" x14ac:dyDescent="0.45">
      <c r="B30" s="67">
        <v>24</v>
      </c>
      <c r="C30" s="68">
        <f>IF(B30&lt;Prisberegner!$E$50+1,Prisberegner!$E$47,IF(Prisberegner!$E$52&gt;0,Prisberegner!$E$55,Prisberegner!$E$47))</f>
        <v>17092.534274023299</v>
      </c>
      <c r="D30" s="147">
        <f>Prisberegner!$E$106+IF(B30&gt;Prisberegner!$E$92,-Prisberegner!$E$93,0)+IF(AND(B30&gt;Prisberegner!$E$98,Prisberegner!$E$102&gt;0),-(Prisberegner!$E$99-Prisberegner!$E$103),0)+IF(AND(Prisberegner!$D$82="Ja",'Tabel resultat'!B30&gt;Prisberegner!$E$83),-Prisberegner!$E$82*12,0)-IF(AND(Prisberegner!$E$98=1,B30&gt;1),Prisberegner!$E$99,0)</f>
        <v>12267.494634650142</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8">
        <f t="shared" si="0"/>
        <v>4825.0396393731571</v>
      </c>
      <c r="I30" s="171" cm="1">
        <f t="array" aca="1" ref="I30" ca="1">IF(Prisberegner!$D$82="Nej","",INDIRECT(ADDRESS($J$8+7,3))-INDIRECT(ADDRESS($J$8+7,4)))</f>
        <v>4825.0396393731571</v>
      </c>
      <c r="J30" s="168" t="str">
        <f>IF(Prisberegner!$D$82="Nej","","Efter udløb af tillæg om "&amp;Prisberegner!$E$83&amp;" år")</f>
        <v>Efter udløb af tillæg om 10 år</v>
      </c>
    </row>
    <row r="31" spans="2:10" x14ac:dyDescent="0.45">
      <c r="B31" s="67">
        <v>25</v>
      </c>
      <c r="C31" s="68">
        <f>IF(B31&lt;Prisberegner!$E$50+1,Prisberegner!$E$47,IF(Prisberegner!$E$52&gt;0,Prisberegner!$E$55,Prisberegner!$E$47))</f>
        <v>17092.534274023299</v>
      </c>
      <c r="D31" s="147">
        <f>Prisberegner!$E$106+IF(B31&gt;Prisberegner!$E$92,-Prisberegner!$E$93,0)+IF(AND(B31&gt;Prisberegner!$E$98,Prisberegner!$E$102&gt;0),-(Prisberegner!$E$99-Prisberegner!$E$103),0)+IF(AND(Prisberegner!$D$82="Ja",'Tabel resultat'!B31&gt;Prisberegner!$E$83),-Prisberegner!$E$82*12,0)-IF(AND(Prisberegner!$E$98=1,B31&gt;1),Prisberegner!$E$99,0)</f>
        <v>12267.494634650142</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8">
        <f t="shared" si="0"/>
        <v>4825.0396393731571</v>
      </c>
      <c r="I31" s="171" cm="1">
        <f t="array" aca="1" ref="I31" ca="1">IF(Prisberegner!$E$92=0,"",INDIRECT(ADDRESS($J$9+7,3))-INDIRECT(ADDRESS($J$9+7,4)))</f>
        <v>4825.0396393731571</v>
      </c>
      <c r="J31" s="168" t="str">
        <f>IF(Prisberegner!$E$92=0,"","Efter afskrevne tilslutningsbidrag om " &amp;Prisberegner!$E$92&amp;" år")</f>
        <v>Efter afskrevne tilslutningsbidrag om 30 år</v>
      </c>
    </row>
    <row r="32" spans="2:10" x14ac:dyDescent="0.45">
      <c r="B32" s="67">
        <v>26</v>
      </c>
      <c r="C32" s="68">
        <f>IF(B32&lt;Prisberegner!$E$50+1,Prisberegner!$E$47,IF(Prisberegner!$E$52&gt;0,Prisberegner!$E$55,Prisberegner!$E$47))</f>
        <v>17092.534274023299</v>
      </c>
      <c r="D32" s="147">
        <f>Prisberegner!$E$106+IF(B32&gt;Prisberegner!$E$92,-Prisberegner!$E$93,0)+IF(AND(B32&gt;Prisberegner!$E$98,Prisberegner!$E$102&gt;0),-(Prisberegner!$E$99-Prisberegner!$E$103),0)+IF(AND(Prisberegner!$D$82="Ja",'Tabel resultat'!B32&gt;Prisberegner!$E$83),-Prisberegner!$E$82*12,0)-IF(AND(Prisberegner!$E$98=1,B32&gt;1),Prisberegner!$E$99,0)</f>
        <v>12267.494634650142</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8">
        <f t="shared" si="0"/>
        <v>4825.0396393731571</v>
      </c>
      <c r="I32" s="171" cm="1">
        <f t="array" aca="1" ref="I32" ca="1">IF(Prisberegner!$E$98=0,"",INDIRECT(ADDRESS($J$10+7,3))-INDIRECT(ADDRESS($J$10+7,4)))</f>
        <v>4825.0396393731571</v>
      </c>
      <c r="J32" s="168" t="str">
        <f>IF(Prisberegner!$E$98=0,"","Efter levetidsforlængelse eller ny unit om "&amp;Prisberegner!$E$98&amp;" år")</f>
        <v>Efter levetidsforlængelse eller ny unit om 25 år</v>
      </c>
    </row>
    <row r="33" spans="2:10" x14ac:dyDescent="0.45">
      <c r="B33" s="67">
        <v>27</v>
      </c>
      <c r="C33" s="68">
        <f>IF(B33&lt;Prisberegner!$E$50+1,Prisberegner!$E$47,IF(Prisberegner!$E$52&gt;0,Prisberegner!$E$55,Prisberegner!$E$47))</f>
        <v>17092.534274023299</v>
      </c>
      <c r="D33" s="147">
        <f>Prisberegner!$E$106+IF(B33&gt;Prisberegner!$E$92,-Prisberegner!$E$93,0)+IF(AND(B33&gt;Prisberegner!$E$98,Prisberegner!$E$102&gt;0),-(Prisberegner!$E$99-Prisberegner!$E$103),0)+IF(AND(Prisberegner!$D$82="Ja",'Tabel resultat'!B33&gt;Prisberegner!$E$83),-Prisberegner!$E$82*12,0)-IF(AND(Prisberegner!$E$98=1,B33&gt;1),Prisberegner!$E$99,0)</f>
        <v>12267.494634650142</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8">
        <f t="shared" si="0"/>
        <v>4825.0396393731571</v>
      </c>
      <c r="I33" s="167"/>
      <c r="J33" s="168"/>
    </row>
    <row r="34" spans="2:10" x14ac:dyDescent="0.45">
      <c r="B34" s="67">
        <v>28</v>
      </c>
      <c r="C34" s="68">
        <f>IF(B34&lt;Prisberegner!$E$50+1,Prisberegner!$E$47,IF(Prisberegner!$E$52&gt;0,Prisberegner!$E$55,Prisberegner!$E$47))</f>
        <v>17092.534274023299</v>
      </c>
      <c r="D34" s="147">
        <f>Prisberegner!$E$106+IF(B34&gt;Prisberegner!$E$92,-Prisberegner!$E$93,0)+IF(AND(B34&gt;Prisberegner!$E$98,Prisberegner!$E$102&gt;0),-(Prisberegner!$E$99-Prisberegner!$E$103),0)+IF(AND(Prisberegner!$D$82="Ja",'Tabel resultat'!B34&gt;Prisberegner!$E$83),-Prisberegner!$E$82*12,0)-IF(AND(Prisberegner!$E$98=1,B34&gt;1),Prisberegner!$E$99,0)</f>
        <v>12267.494634650142</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8">
        <f t="shared" si="0"/>
        <v>4825.0396393731571</v>
      </c>
      <c r="I34" s="172">
        <f>I28</f>
        <v>672.48987348308947</v>
      </c>
      <c r="J34" s="173" t="str">
        <f>J28</f>
        <v>Ved tilslutning (år 1)</v>
      </c>
    </row>
    <row r="35" spans="2:10" x14ac:dyDescent="0.45">
      <c r="B35" s="67">
        <v>29</v>
      </c>
      <c r="C35" s="68">
        <f>IF(B35&lt;Prisberegner!$E$50+1,Prisberegner!$E$47,IF(Prisberegner!$E$52&gt;0,Prisberegner!$E$55,Prisberegner!$E$47))</f>
        <v>17092.534274023299</v>
      </c>
      <c r="D35" s="147">
        <f>Prisberegner!$E$106+IF(B35&gt;Prisberegner!$E$92,-Prisberegner!$E$93,0)+IF(AND(B35&gt;Prisberegner!$E$98,Prisberegner!$E$102&gt;0),-(Prisberegner!$E$99-Prisberegner!$E$103),0)+IF(AND(Prisberegner!$D$82="Ja",'Tabel resultat'!B35&gt;Prisberegner!$E$83),-Prisberegner!$E$82*12,0)-IF(AND(Prisberegner!$E$98=1,B35&gt;1),Prisberegner!$E$99,0)</f>
        <v>12267.494634650142</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8">
        <f t="shared" si="0"/>
        <v>4825.0396393731571</v>
      </c>
      <c r="I35" s="172" cm="1">
        <f t="array" aca="1" ref="I35:J38" ca="1">_xlfn._xlws.SORT(I29:J32,1,1)</f>
        <v>3025.0396393731571</v>
      </c>
      <c r="J35" s="173" t="str">
        <f ca="1"/>
        <v>Efter investering i ny gaskedel om 5 år</v>
      </c>
    </row>
    <row r="36" spans="2:10" x14ac:dyDescent="0.45">
      <c r="B36" s="67">
        <v>30</v>
      </c>
      <c r="C36" s="68">
        <f>IF(B36&lt;Prisberegner!$E$50+1,Prisberegner!$E$47,IF(Prisberegner!$E$52&gt;0,Prisberegner!$E$55,Prisberegner!$E$47))</f>
        <v>17092.534274023299</v>
      </c>
      <c r="D36" s="147">
        <f>Prisberegner!$E$106+IF(B36&gt;Prisberegner!$E$92,-Prisberegner!$E$93,0)+IF(AND(B36&gt;Prisberegner!$E$98,Prisberegner!$E$102&gt;0),-(Prisberegner!$E$99-Prisberegner!$E$103),0)+IF(AND(Prisberegner!$D$82="Ja",'Tabel resultat'!B36&gt;Prisberegner!$E$83),-Prisberegner!$E$82*12,0)-IF(AND(Prisberegner!$E$98=1,B36&gt;1),Prisberegner!$E$99,0)</f>
        <v>12267.494634650142</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8">
        <f t="shared" si="0"/>
        <v>4825.0396393731571</v>
      </c>
      <c r="I36" s="172">
        <f ca="1"/>
        <v>4825.0396393731571</v>
      </c>
      <c r="J36" s="173" t="str">
        <f ca="1"/>
        <v>Efter udløb af tillæg om 10 år</v>
      </c>
    </row>
    <row r="37" spans="2:10" x14ac:dyDescent="0.45">
      <c r="B37" s="67">
        <v>31</v>
      </c>
      <c r="C37" s="68">
        <f>IF(B37&lt;Prisberegner!$E$50+1,Prisberegner!$E$47,IF(Prisberegner!$E$52&gt;0,Prisberegner!$E$55,Prisberegner!$E$47))</f>
        <v>17092.534274023299</v>
      </c>
      <c r="D37" s="147">
        <f>Prisberegner!$E$106+IF(B37&gt;Prisberegner!$E$92,-Prisberegner!$E$93,0)+IF(AND(B37&gt;Prisberegner!$E$98,Prisberegner!$E$102&gt;0),-(Prisberegner!$E$99-Prisberegner!$E$103),0)+IF(AND(Prisberegner!$D$82="Ja",'Tabel resultat'!B37&gt;Prisberegner!$E$83),-Prisberegner!$E$82*12,0)-IF(AND(Prisberegner!$E$98=1,B37&gt;1),Prisberegner!$E$99,0)</f>
        <v>12267.494634650142</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8">
        <f t="shared" si="0"/>
        <v>4825.0396393731571</v>
      </c>
      <c r="I37" s="172">
        <f ca="1"/>
        <v>4825.0396393731571</v>
      </c>
      <c r="J37" s="173" t="str">
        <f ca="1"/>
        <v>Efter afskrevne tilslutningsbidrag om 30 år</v>
      </c>
    </row>
    <row r="38" spans="2:10" x14ac:dyDescent="0.45">
      <c r="B38" s="67">
        <v>32</v>
      </c>
      <c r="C38" s="68">
        <f>IF(B38&lt;Prisberegner!$E$50+1,Prisberegner!$E$47,IF(Prisberegner!$E$52&gt;0,Prisberegner!$E$55,Prisberegner!$E$47))</f>
        <v>17092.534274023299</v>
      </c>
      <c r="D38" s="147">
        <f>Prisberegner!$E$106+IF(B38&gt;Prisberegner!$E$92,-Prisberegner!$E$93,0)+IF(AND(B38&gt;Prisberegner!$E$98,Prisberegner!$E$102&gt;0),-(Prisberegner!$E$99-Prisberegner!$E$103),0)+IF(AND(Prisberegner!$D$82="Ja",'Tabel resultat'!B38&gt;Prisberegner!$E$83),-Prisberegner!$E$82*12,0)-IF(AND(Prisberegner!$E$98=1,B38&gt;1),Prisberegner!$E$99,0)</f>
        <v>12267.494634650142</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8">
        <f t="shared" si="0"/>
        <v>4825.0396393731571</v>
      </c>
      <c r="I38" s="172">
        <f ca="1"/>
        <v>4825.0396393731571</v>
      </c>
      <c r="J38" s="174" t="str">
        <f ca="1"/>
        <v>Efter levetidsforlængelse eller ny unit om 25 år</v>
      </c>
    </row>
    <row r="39" spans="2:10" x14ac:dyDescent="0.45">
      <c r="B39" s="67">
        <v>33</v>
      </c>
      <c r="C39" s="68">
        <f>IF(B39&lt;Prisberegner!$E$50+1,Prisberegner!$E$47,IF(Prisberegner!$E$52&gt;0,Prisberegner!$E$55,Prisberegner!$E$47))</f>
        <v>17092.534274023299</v>
      </c>
      <c r="D39" s="147">
        <f>Prisberegner!$E$106+IF(B39&gt;Prisberegner!$E$92,-Prisberegner!$E$93,0)+IF(AND(B39&gt;Prisberegner!$E$98,Prisberegner!$E$102&gt;0),-(Prisberegner!$E$99-Prisberegner!$E$103),0)+IF(AND(Prisberegner!$D$82="Ja",'Tabel resultat'!B39&gt;Prisberegner!$E$83),-Prisberegner!$E$82*12,0)-IF(AND(Prisberegner!$E$98=1,B39&gt;1),Prisberegner!$E$99,0)</f>
        <v>12267.494634650142</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8">
        <f t="shared" si="0"/>
        <v>4825.0396393731571</v>
      </c>
      <c r="I39" s="175"/>
      <c r="J39" s="176"/>
    </row>
    <row r="40" spans="2:10" x14ac:dyDescent="0.45">
      <c r="B40" s="67">
        <v>34</v>
      </c>
      <c r="C40" s="68">
        <f>IF(B40&lt;Prisberegner!$E$50+1,Prisberegner!$E$47,IF(Prisberegner!$E$52&gt;0,Prisberegner!$E$55,Prisberegner!$E$47))</f>
        <v>17092.534274023299</v>
      </c>
      <c r="D40" s="147">
        <f>Prisberegner!$E$106+IF(B40&gt;Prisberegner!$E$92,-Prisberegner!$E$93,0)+IF(AND(B40&gt;Prisberegner!$E$98,Prisberegner!$E$102&gt;0),-(Prisberegner!$E$99-Prisberegner!$E$103),0)+IF(AND(Prisberegner!$D$82="Ja",'Tabel resultat'!B40&gt;Prisberegner!$E$83),-Prisberegner!$E$82*12,0)-IF(AND(Prisberegner!$E$98=1,B40&gt;1),Prisberegner!$E$99,0)</f>
        <v>12267.494634650142</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8">
        <f t="shared" si="0"/>
        <v>4825.0396393731571</v>
      </c>
    </row>
    <row r="41" spans="2:10" x14ac:dyDescent="0.45">
      <c r="B41" s="67">
        <v>35</v>
      </c>
      <c r="C41" s="68">
        <f>IF(B41&lt;Prisberegner!$E$50+1,Prisberegner!$E$47,IF(Prisberegner!$E$52&gt;0,Prisberegner!$E$55,Prisberegner!$E$47))</f>
        <v>17092.534274023299</v>
      </c>
      <c r="D41" s="147">
        <f>Prisberegner!$E$106+IF(B41&gt;Prisberegner!$E$92,-Prisberegner!$E$93,0)+IF(AND(B41&gt;Prisberegner!$E$98,Prisberegner!$E$102&gt;0),-(Prisberegner!$E$99-Prisberegner!$E$103),0)+IF(AND(Prisberegner!$D$82="Ja",'Tabel resultat'!B41&gt;Prisberegner!$E$83),-Prisberegner!$E$82*12,0)-IF(AND(Prisberegner!$E$98=1,B41&gt;1),Prisberegner!$E$99,0)</f>
        <v>12267.494634650142</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8">
        <f t="shared" si="0"/>
        <v>4825.0396393731571</v>
      </c>
    </row>
    <row r="42" spans="2:10" x14ac:dyDescent="0.45">
      <c r="B42" s="67">
        <v>36</v>
      </c>
      <c r="C42" s="68">
        <f>IF(B42&lt;Prisberegner!$E$50+1,Prisberegner!$E$47,IF(Prisberegner!$E$52&gt;0,Prisberegner!$E$55,Prisberegner!$E$47))</f>
        <v>17092.534274023299</v>
      </c>
      <c r="D42" s="147">
        <f>Prisberegner!$E$106+IF(B42&gt;Prisberegner!$E$92,-Prisberegner!$E$93,0)+IF(AND(B42&gt;Prisberegner!$E$98,Prisberegner!$E$102&gt;0),-(Prisberegner!$E$99-Prisberegner!$E$103),0)+IF(AND(Prisberegner!$D$82="Ja",'Tabel resultat'!B42&gt;Prisberegner!$E$83),-Prisberegner!$E$82*12,0)-IF(AND(Prisberegner!$E$98=1,B42&gt;1),Prisberegner!$E$99,0)</f>
        <v>12267.494634650142</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8">
        <f t="shared" si="0"/>
        <v>4825.0396393731571</v>
      </c>
    </row>
    <row r="43" spans="2:10" x14ac:dyDescent="0.45">
      <c r="B43" s="67">
        <v>37</v>
      </c>
      <c r="C43" s="68">
        <f>IF(B43&lt;Prisberegner!$E$50+1,Prisberegner!$E$47,IF(Prisberegner!$E$52&gt;0,Prisberegner!$E$55,Prisberegner!$E$47))</f>
        <v>17092.534274023299</v>
      </c>
      <c r="D43" s="147">
        <f>Prisberegner!$E$106+IF(B43&gt;Prisberegner!$E$92,-Prisberegner!$E$93,0)+IF(AND(B43&gt;Prisberegner!$E$98,Prisberegner!$E$102&gt;0),-(Prisberegner!$E$99-Prisberegner!$E$103),0)+IF(AND(Prisberegner!$D$82="Ja",'Tabel resultat'!B43&gt;Prisberegner!$E$83),-Prisberegner!$E$82*12,0)-IF(AND(Prisberegner!$E$98=1,B43&gt;1),Prisberegner!$E$99,0)</f>
        <v>12267.494634650142</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8">
        <f t="shared" si="0"/>
        <v>4825.0396393731571</v>
      </c>
    </row>
    <row r="44" spans="2:10" x14ac:dyDescent="0.45">
      <c r="B44" s="67">
        <v>38</v>
      </c>
      <c r="C44" s="68">
        <f>IF(B44&lt;Prisberegner!$E$50+1,Prisberegner!$E$47,IF(Prisberegner!$E$52&gt;0,Prisberegner!$E$55,Prisberegner!$E$47))</f>
        <v>17092.534274023299</v>
      </c>
      <c r="D44" s="147">
        <f>Prisberegner!$E$106+IF(B44&gt;Prisberegner!$E$92,-Prisberegner!$E$93,0)+IF(AND(B44&gt;Prisberegner!$E$98,Prisberegner!$E$102&gt;0),-(Prisberegner!$E$99-Prisberegner!$E$103),0)+IF(AND(Prisberegner!$D$82="Ja",'Tabel resultat'!B44&gt;Prisberegner!$E$83),-Prisberegner!$E$82*12,0)-IF(AND(Prisberegner!$E$98=1,B44&gt;1),Prisberegner!$E$99,0)</f>
        <v>12267.494634650142</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8">
        <f t="shared" si="0"/>
        <v>4825.0396393731571</v>
      </c>
    </row>
    <row r="45" spans="2:10" x14ac:dyDescent="0.45">
      <c r="B45" s="67">
        <v>39</v>
      </c>
      <c r="C45" s="68">
        <f>IF(B45&lt;Prisberegner!$E$50+1,Prisberegner!$E$47,IF(Prisberegner!$E$52&gt;0,Prisberegner!$E$55,Prisberegner!$E$47))</f>
        <v>17092.534274023299</v>
      </c>
      <c r="D45" s="147">
        <f>Prisberegner!$E$106+IF(B45&gt;Prisberegner!$E$92,-Prisberegner!$E$93,0)+IF(AND(B45&gt;Prisberegner!$E$98,Prisberegner!$E$102&gt;0),-(Prisberegner!$E$99-Prisberegner!$E$103),0)+IF(AND(Prisberegner!$D$82="Ja",'Tabel resultat'!B45&gt;Prisberegner!$E$83),-Prisberegner!$E$82*12,0)-IF(AND(Prisberegner!$E$98=1,B45&gt;1),Prisberegner!$E$99,0)</f>
        <v>12267.494634650142</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8">
        <f t="shared" si="0"/>
        <v>4825.0396393731571</v>
      </c>
    </row>
    <row r="46" spans="2:10" x14ac:dyDescent="0.45">
      <c r="B46" s="67">
        <v>40</v>
      </c>
      <c r="C46" s="68">
        <f>IF(B46&lt;Prisberegner!$E$50+1,Prisberegner!$E$47,IF(Prisberegner!$E$52&gt;0,Prisberegner!$E$55,Prisberegner!$E$47))</f>
        <v>17092.534274023299</v>
      </c>
      <c r="D46" s="147">
        <f>Prisberegner!$E$106+IF(B46&gt;Prisberegner!$E$92,-Prisberegner!$E$93,0)+IF(AND(B46&gt;Prisberegner!$E$98,Prisberegner!$E$102&gt;0),-(Prisberegner!$E$99-Prisberegner!$E$103),0)+IF(AND(Prisberegner!$D$82="Ja",'Tabel resultat'!B46&gt;Prisberegner!$E$83),-Prisberegner!$E$82*12,0)-IF(AND(Prisberegner!$E$98=1,B46&gt;1),Prisberegner!$E$99,0)</f>
        <v>12267.494634650142</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8">
        <f t="shared" si="0"/>
        <v>4825.0396393731571</v>
      </c>
    </row>
    <row r="47" spans="2:10" x14ac:dyDescent="0.45">
      <c r="B47" s="67">
        <v>41</v>
      </c>
      <c r="C47" s="68">
        <f>IF(B47&lt;Prisberegner!$E$50+1,Prisberegner!$E$47,IF(Prisberegner!$E$52&gt;0,Prisberegner!$E$55,Prisberegner!$E$47))</f>
        <v>17092.534274023299</v>
      </c>
      <c r="D47" s="147">
        <f>Prisberegner!$E$106+IF(B47&gt;Prisberegner!$E$92,-Prisberegner!$E$93,0)+IF(AND(B47&gt;Prisberegner!$E$98,Prisberegner!$E$102&gt;0),-(Prisberegner!$E$99-Prisberegner!$E$103),0)+IF(AND(Prisberegner!$D$82="Ja",'Tabel resultat'!B47&gt;Prisberegner!$E$83),-Prisberegner!$E$82*12,0)-IF(AND(Prisberegner!$E$98=1,B47&gt;1),Prisberegner!$E$99,0)</f>
        <v>12267.494634650142</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8">
        <f t="shared" si="0"/>
        <v>4825.0396393731571</v>
      </c>
    </row>
    <row r="48" spans="2:10" x14ac:dyDescent="0.45">
      <c r="B48" s="67">
        <v>42</v>
      </c>
      <c r="C48" s="68">
        <f>IF(B48&lt;Prisberegner!$E$50+1,Prisberegner!$E$47,IF(Prisberegner!$E$52&gt;0,Prisberegner!$E$55,Prisberegner!$E$47))</f>
        <v>17092.534274023299</v>
      </c>
      <c r="D48" s="147">
        <f>Prisberegner!$E$106+IF(B48&gt;Prisberegner!$E$92,-Prisberegner!$E$93,0)+IF(AND(B48&gt;Prisberegner!$E$98,Prisberegner!$E$102&gt;0),-(Prisberegner!$E$99-Prisberegner!$E$103),0)+IF(AND(Prisberegner!$D$82="Ja",'Tabel resultat'!B48&gt;Prisberegner!$E$83),-Prisberegner!$E$82*12,0)-IF(AND(Prisberegner!$E$98=1,B48&gt;1),Prisberegner!$E$99,0)</f>
        <v>12267.494634650142</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8">
        <f t="shared" si="0"/>
        <v>4825.0396393731571</v>
      </c>
    </row>
    <row r="49" spans="2:7" x14ac:dyDescent="0.45">
      <c r="B49" s="67">
        <v>43</v>
      </c>
      <c r="C49" s="68">
        <f>IF(B49&lt;Prisberegner!$E$50+1,Prisberegner!$E$47,IF(Prisberegner!$E$52&gt;0,Prisberegner!$E$55,Prisberegner!$E$47))</f>
        <v>17092.534274023299</v>
      </c>
      <c r="D49" s="147">
        <f>Prisberegner!$E$106+IF(B49&gt;Prisberegner!$E$92,-Prisberegner!$E$93,0)+IF(AND(B49&gt;Prisberegner!$E$98,Prisberegner!$E$102&gt;0),-(Prisberegner!$E$99-Prisberegner!$E$103),0)+IF(AND(Prisberegner!$D$82="Ja",'Tabel resultat'!B49&gt;Prisberegner!$E$83),-Prisberegner!$E$82*12,0)-IF(AND(Prisberegner!$E$98=1,B49&gt;1),Prisberegner!$E$99,0)</f>
        <v>12267.494634650142</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8">
        <f t="shared" si="0"/>
        <v>4825.0396393731571</v>
      </c>
    </row>
    <row r="50" spans="2:7" x14ac:dyDescent="0.45">
      <c r="B50" s="67">
        <v>44</v>
      </c>
      <c r="C50" s="68">
        <f>IF(B50&lt;Prisberegner!$E$50+1,Prisberegner!$E$47,IF(Prisberegner!$E$52&gt;0,Prisberegner!$E$55,Prisberegner!$E$47))</f>
        <v>17092.534274023299</v>
      </c>
      <c r="D50" s="147">
        <f>Prisberegner!$E$106+IF(B50&gt;Prisberegner!$E$92,-Prisberegner!$E$93,0)+IF(AND(B50&gt;Prisberegner!$E$98,Prisberegner!$E$102&gt;0),-(Prisberegner!$E$99-Prisberegner!$E$103),0)+IF(AND(Prisberegner!$D$82="Ja",'Tabel resultat'!B50&gt;Prisberegner!$E$83),-Prisberegner!$E$82*12,0)-IF(AND(Prisberegner!$E$98=1,B50&gt;1),Prisberegner!$E$99,0)</f>
        <v>12267.494634650142</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8">
        <f t="shared" si="0"/>
        <v>4825.0396393731571</v>
      </c>
    </row>
    <row r="51" spans="2:7" x14ac:dyDescent="0.45">
      <c r="B51" s="67">
        <v>45</v>
      </c>
      <c r="C51" s="68">
        <f>IF(B51&lt;Prisberegner!$E$50+1,Prisberegner!$E$47,IF(Prisberegner!$E$52&gt;0,Prisberegner!$E$55,Prisberegner!$E$47))</f>
        <v>17092.534274023299</v>
      </c>
      <c r="D51" s="147">
        <f>Prisberegner!$E$106+IF(B51&gt;Prisberegner!$E$92,-Prisberegner!$E$93,0)+IF(AND(B51&gt;Prisberegner!$E$98,Prisberegner!$E$102&gt;0),-(Prisberegner!$E$99-Prisberegner!$E$103),0)+IF(AND(Prisberegner!$D$82="Ja",'Tabel resultat'!B51&gt;Prisberegner!$E$83),-Prisberegner!$E$82*12,0)-IF(AND(Prisberegner!$E$98=1,B51&gt;1),Prisberegner!$E$99,0)</f>
        <v>12267.494634650142</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8">
        <f t="shared" si="0"/>
        <v>4825.0396393731571</v>
      </c>
    </row>
    <row r="52" spans="2:7" x14ac:dyDescent="0.45">
      <c r="B52" s="67">
        <v>46</v>
      </c>
      <c r="C52" s="68">
        <f>IF(B52&lt;Prisberegner!$E$50+1,Prisberegner!$E$47,IF(Prisberegner!$E$52&gt;0,Prisberegner!$E$55,Prisberegner!$E$47))</f>
        <v>17092.534274023299</v>
      </c>
      <c r="D52" s="147">
        <f>Prisberegner!$E$106+IF(B52&gt;Prisberegner!$E$92,-Prisberegner!$E$93,0)+IF(AND(B52&gt;Prisberegner!$E$98,Prisberegner!$E$102&gt;0),-(Prisberegner!$E$99-Prisberegner!$E$103),0)+IF(AND(Prisberegner!$D$82="Ja",'Tabel resultat'!B52&gt;Prisberegner!$E$83),-Prisberegner!$E$82*12,0)-IF(AND(Prisberegner!$E$98=1,B52&gt;1),Prisberegner!$E$99,0)</f>
        <v>12267.494634650142</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8">
        <f t="shared" si="0"/>
        <v>4825.0396393731571</v>
      </c>
    </row>
    <row r="53" spans="2:7" x14ac:dyDescent="0.45">
      <c r="B53" s="67">
        <v>47</v>
      </c>
      <c r="C53" s="68">
        <f>IF(B53&lt;Prisberegner!$E$50+1,Prisberegner!$E$47,IF(Prisberegner!$E$52&gt;0,Prisberegner!$E$55,Prisberegner!$E$47))</f>
        <v>17092.534274023299</v>
      </c>
      <c r="D53" s="147">
        <f>Prisberegner!$E$106+IF(B53&gt;Prisberegner!$E$92,-Prisberegner!$E$93,0)+IF(AND(B53&gt;Prisberegner!$E$98,Prisberegner!$E$102&gt;0),-(Prisberegner!$E$99-Prisberegner!$E$103),0)+IF(AND(Prisberegner!$D$82="Ja",'Tabel resultat'!B53&gt;Prisberegner!$E$83),-Prisberegner!$E$82*12,0)-IF(AND(Prisberegner!$E$98=1,B53&gt;1),Prisberegner!$E$99,0)</f>
        <v>12267.494634650142</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8">
        <f t="shared" si="0"/>
        <v>4825.0396393731571</v>
      </c>
    </row>
    <row r="54" spans="2:7" x14ac:dyDescent="0.45">
      <c r="B54" s="67">
        <v>48</v>
      </c>
      <c r="C54" s="68">
        <f>IF(B54&lt;Prisberegner!$E$50+1,Prisberegner!$E$47,IF(Prisberegner!$E$52&gt;0,Prisberegner!$E$55,Prisberegner!$E$47))</f>
        <v>17092.534274023299</v>
      </c>
      <c r="D54" s="147">
        <f>Prisberegner!$E$106+IF(B54&gt;Prisberegner!$E$92,-Prisberegner!$E$93,0)+IF(AND(B54&gt;Prisberegner!$E$98,Prisberegner!$E$102&gt;0),-(Prisberegner!$E$99-Prisberegner!$E$103),0)+IF(AND(Prisberegner!$D$82="Ja",'Tabel resultat'!B54&gt;Prisberegner!$E$83),-Prisberegner!$E$82*12,0)-IF(AND(Prisberegner!$E$98=1,B54&gt;1),Prisberegner!$E$99,0)</f>
        <v>12267.494634650142</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8">
        <f t="shared" si="0"/>
        <v>4825.0396393731571</v>
      </c>
    </row>
    <row r="55" spans="2:7" x14ac:dyDescent="0.45">
      <c r="B55" s="67">
        <v>49</v>
      </c>
      <c r="C55" s="68">
        <f>IF(B55&lt;Prisberegner!$E$50+1,Prisberegner!$E$47,IF(Prisberegner!$E$52&gt;0,Prisberegner!$E$55,Prisberegner!$E$47))</f>
        <v>17092.534274023299</v>
      </c>
      <c r="D55" s="147">
        <f>Prisberegner!$E$106+IF(B55&gt;Prisberegner!$E$92,-Prisberegner!$E$93,0)+IF(AND(B55&gt;Prisberegner!$E$98,Prisberegner!$E$102&gt;0),-(Prisberegner!$E$99-Prisberegner!$E$103),0)+IF(AND(Prisberegner!$D$82="Ja",'Tabel resultat'!B55&gt;Prisberegner!$E$83),-Prisberegner!$E$82*12,0)-IF(AND(Prisberegner!$E$98=1,B55&gt;1),Prisberegner!$E$99,0)</f>
        <v>12267.494634650142</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8">
        <f t="shared" si="0"/>
        <v>4825.0396393731571</v>
      </c>
    </row>
    <row r="56" spans="2:7" x14ac:dyDescent="0.45">
      <c r="B56" s="67">
        <v>50</v>
      </c>
      <c r="C56" s="68">
        <f>IF(B56&lt;Prisberegner!$E$50+1,Prisberegner!$E$47,IF(Prisberegner!$E$52&gt;0,Prisberegner!$E$55,Prisberegner!$E$47))</f>
        <v>17092.534274023299</v>
      </c>
      <c r="D56" s="147">
        <f>Prisberegner!$E$106+IF(B56&gt;Prisberegner!$E$92,-Prisberegner!$E$93,0)+IF(AND(B56&gt;Prisberegner!$E$98,Prisberegner!$E$102&gt;0),-(Prisberegner!$E$99-Prisberegner!$E$103),0)+IF(AND(Prisberegner!$D$82="Ja",'Tabel resultat'!B56&gt;Prisberegner!$E$83),-Prisberegner!$E$82*12,0)-IF(AND(Prisberegner!$E$98=1,B56&gt;1),Prisberegner!$E$99,0)</f>
        <v>12267.494634650142</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8">
        <f t="shared" si="0"/>
        <v>4825.0396393731571</v>
      </c>
    </row>
    <row r="57" spans="2:7" x14ac:dyDescent="0.45">
      <c r="E57" s="67"/>
      <c r="F57" s="67"/>
    </row>
    <row r="58" spans="2:7" x14ac:dyDescent="0.45">
      <c r="B58" s="61" t="s">
        <v>48</v>
      </c>
      <c r="C58" s="74">
        <f>SUM(C7:C56)</f>
        <v>842863.96487171412</v>
      </c>
      <c r="D58" s="74">
        <f>SUM(D7:D56)</f>
        <v>631374.73173250712</v>
      </c>
      <c r="E58" s="74" t="e">
        <f t="shared" ref="E58:F58" si="1">SUM(E7:E56)</f>
        <v>#N/A</v>
      </c>
      <c r="F58" s="74" t="e">
        <f t="shared" si="1"/>
        <v>#N/A</v>
      </c>
    </row>
    <row r="60" spans="2:7" x14ac:dyDescent="0.45">
      <c r="C60" s="72" t="s">
        <v>56</v>
      </c>
      <c r="D60" s="72" t="s">
        <v>56</v>
      </c>
      <c r="E60" s="72" t="s">
        <v>56</v>
      </c>
      <c r="F60" s="72" t="s">
        <v>56</v>
      </c>
    </row>
    <row r="61" spans="2:7" x14ac:dyDescent="0.45">
      <c r="C61" s="68">
        <f>C58/(50*12)</f>
        <v>1404.7732747861903</v>
      </c>
      <c r="D61" s="68">
        <f>D58/(50*12)</f>
        <v>1052.2912195541785</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d50b2c44-e625-4464-b23c-0f6e1ef7d695">XX37J4UVZJS6-1980040952-29472</_dlc_DocId>
    <_dlc_DocIdUrl xmlns="d50b2c44-e625-4464-b23c-0f6e1ef7d695">
      <Url>https://vejenvarme.sharepoint.com/sites/VejenVarmevaerk-Leverandoere/_layouts/15/DocIdRedir.aspx?ID=XX37J4UVZJS6-1980040952-29472</Url>
      <Description>XX37J4UVZJS6-1980040952-29472</Description>
    </_dlc_DocIdUrl>
    <lcf76f155ced4ddcb4097134ff3c332f xmlns="4026ce08-4ea8-4942-9bb9-894bafc46e34">
      <Terms xmlns="http://schemas.microsoft.com/office/infopath/2007/PartnerControls"/>
    </lcf76f155ced4ddcb4097134ff3c332f>
    <TaxCatchAll xmlns="d50b2c44-e625-4464-b23c-0f6e1ef7d695"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6" ma:contentTypeDescription="Opret et nyt dokument." ma:contentTypeScope="" ma:versionID="a1c905255d9914e0978e9708b4d95cf1">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1aefcaea146d5e706ebc92350a8ebff8"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2.xml><?xml version="1.0" encoding="utf-8"?>
<ds:datastoreItem xmlns:ds="http://schemas.openxmlformats.org/officeDocument/2006/customXml" ds:itemID="{48020C63-2B01-4514-B9BE-6EF1D4485EE2}">
  <ds:schemaRefs>
    <ds:schemaRef ds:uri="http://purl.org/dc/terms/"/>
    <ds:schemaRef ds:uri="http://schemas.openxmlformats.org/package/2006/metadata/core-properties"/>
    <ds:schemaRef ds:uri="http://purl.org/dc/dcmitype/"/>
    <ds:schemaRef ds:uri="fa83728a-0f9d-4981-a83c-3da040652bf4"/>
    <ds:schemaRef ds:uri="http://purl.org/dc/elements/1.1/"/>
    <ds:schemaRef ds:uri="http://schemas.microsoft.com/office/2006/metadata/properties"/>
    <ds:schemaRef ds:uri="http://schemas.microsoft.com/office/2006/documentManagement/types"/>
    <ds:schemaRef ds:uri="http://schemas.microsoft.com/office/infopath/2007/PartnerControls"/>
    <ds:schemaRef ds:uri="a91b7dd8-077f-4453-9438-4210714d1ab6"/>
    <ds:schemaRef ds:uri="http://www.w3.org/XML/1998/namespace"/>
    <ds:schemaRef ds:uri="d50b2c44-e625-4464-b23c-0f6e1ef7d695"/>
    <ds:schemaRef ds:uri="4026ce08-4ea8-4942-9bb9-894bafc46e34"/>
  </ds:schemaRefs>
</ds:datastoreItem>
</file>

<file path=customXml/itemProps3.xml><?xml version="1.0" encoding="utf-8"?>
<ds:datastoreItem xmlns:ds="http://schemas.openxmlformats.org/officeDocument/2006/customXml" ds:itemID="{6AC1AEBD-4E7C-44A4-A3C4-62EFA5136B4B}">
  <ds:schemaRefs>
    <ds:schemaRef ds:uri="http://schemas.microsoft.com/sharepoint/events"/>
  </ds:schemaRefs>
</ds:datastoreItem>
</file>

<file path=customXml/itemProps4.xml><?xml version="1.0" encoding="utf-8"?>
<ds:datastoreItem xmlns:ds="http://schemas.openxmlformats.org/officeDocument/2006/customXml" ds:itemID="{8A14A47C-AADF-43B0-96D8-1A130B8ED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2022-03-24T15:36:30Z</cp:lastPrinted>
  <dcterms:created xsi:type="dcterms:W3CDTF">2014-02-23T12:10:08Z</dcterms:created>
  <dcterms:modified xsi:type="dcterms:W3CDTF">2023-02-09T17:31:33Z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ab7b237a-c645-4526-b40b-827978317bff</vt:lpwstr>
  </property>
  <property fmtid="{D5CDD505-2E9C-101B-9397-08002B2CF9AE}" pid="14" name="MediaServiceImageTags">
    <vt:lpwstr/>
  </property>
</Properties>
</file>